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Dw711zV+F1GJ+2YHhjYoOvYu0qchzAau4OMpSPukvhTel/4Y3W1PWilA6z2Bmfy1dgm9z4mqesxxDTOuid22Q==" workbookSaltValue="DN2PTJL7xB5y8qP5MDe4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AG32" i="20"/>
  <c r="H32" i="20"/>
  <c r="F32" i="20"/>
  <c r="G26" i="14"/>
  <c r="S32" i="20"/>
  <c r="AQ32" i="21"/>
  <c r="AJ32" i="20"/>
  <c r="G30" i="14"/>
  <c r="AX32" i="20"/>
  <c r="L32" i="20"/>
  <c r="T32" i="21"/>
  <c r="AF32" i="20"/>
  <c r="K32" i="20"/>
  <c r="O17" i="11"/>
  <c r="BF17" i="8" l="1"/>
  <c r="T31" i="8"/>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AP22" i="20"/>
  <c r="V12" i="16"/>
  <c r="BL16" i="11"/>
  <c r="BM18" i="11"/>
  <c r="AQ12" i="21"/>
  <c r="L16" i="2"/>
  <c r="L9" i="2"/>
  <c r="X13" i="16"/>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BL19" i="11"/>
  <c r="BJ18" i="11"/>
  <c r="BM17" i="11"/>
  <c r="BF21" i="11"/>
  <c r="BF17" i="11"/>
  <c r="P17" i="11" s="1"/>
  <c r="BL12" i="11"/>
  <c r="BK21" i="11"/>
  <c r="BI25" i="11"/>
  <c r="V13" i="11"/>
  <c r="BI19" i="11"/>
  <c r="R25" i="14"/>
  <c r="BL25" i="11"/>
  <c r="Q25" i="11" s="1"/>
  <c r="AZ9" i="11"/>
  <c r="T16" i="16"/>
  <c r="BV19" i="16"/>
  <c r="BV23" i="16" s="1"/>
  <c r="BV26" i="16" s="1"/>
  <c r="BV30" i="16" s="1"/>
  <c r="BW18" i="20"/>
  <c r="BW12" i="20"/>
  <c r="BW16" i="20"/>
  <c r="BV10" i="16"/>
  <c r="BV14" i="16" s="1"/>
  <c r="S22" i="17"/>
  <c r="BF20" i="11"/>
  <c r="S16" i="16"/>
  <c r="S23" i="16" s="1"/>
  <c r="BL20" i="11"/>
  <c r="BH21" i="11"/>
  <c r="AZ25" i="11"/>
  <c r="AZ30" i="11" s="1"/>
  <c r="BK17" i="11"/>
  <c r="BH17" i="11"/>
  <c r="BH23" i="11" s="1"/>
  <c r="BH25" i="11"/>
  <c r="BI21" i="11"/>
  <c r="L10" i="2"/>
  <c r="X21" i="20"/>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<sst xmlns="http://schemas.openxmlformats.org/spreadsheetml/2006/main" count="2682" uniqueCount="1193">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</sst>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bTgU80cQBCoTkbolw5mQXxBr/GdSFdTYKy5AwGj+HsmITBJWaRgSV747SPHQFKfriAiEE7ziaLXAIC3hS0m6Q==" saltValue="/jBwz8ro0QPeHpAmmnRe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23.550660792951543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705</v>
      </c>
      <c r="D17" s="239">
        <f>IF(ISNUMBER(IF(D_I="SI",Datos!I17,Datos!I17+Datos!AC17)),IF(D_I="SI",Datos!I17,Datos!I17+Datos!AC17)," - ")</f>
        <v>684</v>
      </c>
      <c r="E17" s="240">
        <f>IF(ISNUMBER(IF(D_I="SI",Datos!J17,Datos!J17+Datos!AD17)),IF(D_I="SI",Datos!J17,Datos!J17+Datos!AD17)," - ")</f>
        <v>544</v>
      </c>
      <c r="F17" s="240">
        <f>IF(ISNUMBER(IF(D_I="SI",Datos!K17,Datos!K17+Datos!AE17)),IF(D_I="SI",Datos!K17,Datos!K17+Datos!AE17)," - ")</f>
        <v>544</v>
      </c>
      <c r="G17" s="1390" t="str">
        <f>IF(Datos!E17&lt;&gt;"",Datos!E17,Datos!D17)</f>
        <v>04</v>
      </c>
      <c r="H17" s="241">
        <f>IF(ISNUMBER(IF(D_I="SI",Datos!L17,Datos!L17+Datos!AF17)),IF(D_I="SI",Datos!L17,Datos!L17+Datos!AF17)," - ")</f>
        <v>705</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14.255514705882351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89</v>
      </c>
      <c r="F18" s="240">
        <f>IF(ISNUMBER(IF(D_I="SI",Datos!K18,Datos!K18+Datos!AE18)),IF(D_I="SI",Datos!K18,Datos!K18+Datos!AE18)," - ")</f>
        <v>105</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-0.34042553191489361</v>
      </c>
      <c r="L18" s="1402">
        <f>IF(ISNUMBER(NºAsuntos!I18/NºAsuntos!G18),(NºAsuntos!I18/NºAsuntos!G18)*11," - ")</f>
        <v>3.2476190476190476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752</v>
      </c>
      <c r="D23" s="1407">
        <f>SUBTOTAL(9,D16:D22)</f>
        <v>731</v>
      </c>
      <c r="E23" s="1408">
        <f>SUBTOTAL(9,E16:E22)</f>
        <v>633</v>
      </c>
      <c r="F23" s="1408">
        <f>SUBTOTAL(9,F16:F22)</f>
        <v>649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755</v>
      </c>
      <c r="D31" s="1435">
        <f>SUBTOTAL(9,D9:D30)</f>
        <v>734</v>
      </c>
      <c r="E31" s="1436">
        <f>SUBTOTAL(9,E9:E30)</f>
        <v>635</v>
      </c>
      <c r="F31" s="1436">
        <f>SUBTOTAL(9,F9:F30)</f>
        <v>652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eoyTo4vzEj+9j67Oz407ssnshkDy2CZk7rUoJscjYfbR0QJMCwGsHNWHgEqq7SvTBCwVJJQm7dbdIXchMy8lg==" saltValue="EsM3tr7v9HnaiKZgTz4v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qNUfWTLbd64hXzVW3m/w/mpGryA2swOnmuXH4WeefPy0q6SF8K2VLwNULFLiEc6BAng/IUQmU8gGFRLKRzx4A==" saltValue="Vd2taiDDsD1Koh4jdr0A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3</v>
      </c>
      <c r="L10" s="194">
        <v>2</v>
      </c>
      <c r="M10" s="194">
        <v>3</v>
      </c>
      <c r="N10" s="194">
        <v>0</v>
      </c>
      <c r="O10" s="194">
        <v>0</v>
      </c>
      <c r="P10" s="194">
        <v>3</v>
      </c>
      <c r="Q10" s="194">
        <v>11</v>
      </c>
      <c r="R10" s="194">
        <v>2</v>
      </c>
      <c r="S10" s="194">
        <v>17</v>
      </c>
      <c r="T10" s="194">
        <v>6</v>
      </c>
      <c r="U10" s="194">
        <v>10</v>
      </c>
      <c r="V10" s="194">
        <v>13</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6</v>
      </c>
      <c r="BA10" s="139">
        <f t="shared" si="0"/>
        <v>10</v>
      </c>
      <c r="BB10" s="139">
        <f t="shared" si="0"/>
        <v>13</v>
      </c>
      <c r="BC10" s="135">
        <f t="shared" si="0"/>
        <v>8</v>
      </c>
      <c r="BD10" s="136">
        <f>IF(ISNUMBER(BA10/AZ10),BA10/AZ10," - ")</f>
        <v>1.6666666666666667</v>
      </c>
      <c r="BE10" s="137">
        <f>IF(ISNUMBER(BB10/BA10),BB10/BA10, " - ")</f>
        <v>1.3</v>
      </c>
      <c r="BF10" s="137">
        <f>IF(ISNUMBER(BC10/BA10),BC10/BA10, " - ")</f>
        <v>0.8</v>
      </c>
      <c r="BG10" s="209">
        <f>IF(ISNUMBER((AY10+AZ10)/BA10),(AY10+AZ10)/BA10," - ")</f>
        <v>2.2999999999999998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1306</v>
      </c>
      <c r="J12" s="196">
        <v>635</v>
      </c>
      <c r="K12" s="196">
        <v>577</v>
      </c>
      <c r="L12" s="196">
        <v>1367</v>
      </c>
      <c r="M12" s="196">
        <v>208</v>
      </c>
      <c r="N12" s="196">
        <v>300</v>
      </c>
      <c r="O12" s="194">
        <v>196</v>
      </c>
      <c r="P12" s="196">
        <v>285</v>
      </c>
      <c r="Q12" s="196">
        <v>541</v>
      </c>
      <c r="R12" s="196">
        <v>2707</v>
      </c>
      <c r="S12" s="196">
        <v>1578</v>
      </c>
      <c r="T12" s="196">
        <v>590</v>
      </c>
      <c r="U12" s="196">
        <v>648</v>
      </c>
      <c r="V12" s="196">
        <v>1520</v>
      </c>
      <c r="W12" s="196">
        <v>150</v>
      </c>
      <c r="X12" s="202">
        <v>213</v>
      </c>
      <c r="Y12" s="204">
        <v>92</v>
      </c>
      <c r="Z12" s="194">
        <v>103</v>
      </c>
      <c r="AA12" s="194">
        <v>104</v>
      </c>
      <c r="AB12" s="194">
        <v>91</v>
      </c>
      <c r="AC12" s="196">
        <v>0</v>
      </c>
      <c r="AD12" s="196">
        <v>0</v>
      </c>
      <c r="AE12" s="196">
        <v>0</v>
      </c>
      <c r="AF12" s="202">
        <v>0</v>
      </c>
      <c r="AG12" s="215">
        <v>75</v>
      </c>
      <c r="AH12" s="196">
        <v>77</v>
      </c>
      <c r="AI12" s="196">
        <v>77</v>
      </c>
      <c r="AJ12" s="216">
        <v>75</v>
      </c>
      <c r="AK12" s="195">
        <v>0</v>
      </c>
      <c r="AL12" s="196">
        <v>0</v>
      </c>
      <c r="AM12" s="196">
        <v>0</v>
      </c>
      <c r="AN12" s="202">
        <v>0</v>
      </c>
      <c r="AO12" s="283">
        <v>3</v>
      </c>
      <c r="AP12" s="168">
        <v>3</v>
      </c>
      <c r="AQ12" s="168">
        <v>3</v>
      </c>
      <c r="AR12" s="167">
        <v>3</v>
      </c>
      <c r="AS12" s="381" t="s">
        <v>1075</v>
      </c>
      <c r="AT12" s="216"/>
      <c r="AU12" s="215"/>
      <c r="AV12" s="216"/>
      <c r="AW12" s="215"/>
      <c r="AX12" s="216"/>
      <c r="AY12" s="136">
        <f t="shared" si="1"/>
        <v>1653</v>
      </c>
      <c r="AZ12" s="137">
        <f t="shared" si="1"/>
        <v>667</v>
      </c>
      <c r="BA12" s="137">
        <f t="shared" si="1"/>
        <v>725</v>
      </c>
      <c r="BB12" s="137">
        <f t="shared" si="1"/>
        <v>1595</v>
      </c>
      <c r="BC12" s="135">
        <f>IF(ISNUMBER(X12),X12," - ")</f>
        <v>213</v>
      </c>
      <c r="BD12" s="136">
        <f t="shared" si="2"/>
        <v>1.0869565217391304</v>
      </c>
      <c r="BE12" s="137">
        <f t="shared" si="3"/>
        <v>2.2000000000000002</v>
      </c>
      <c r="BF12" s="137">
        <f t="shared" si="4"/>
        <v>0.29379310344827586</v>
      </c>
      <c r="BG12" s="209">
        <f t="shared" si="5"/>
        <v>3.2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1309</v>
      </c>
      <c r="J14" s="197">
        <f t="shared" si="7"/>
        <v>637</v>
      </c>
      <c r="K14" s="197">
        <f t="shared" si="7"/>
        <v>580</v>
      </c>
      <c r="L14" s="197">
        <f t="shared" si="7"/>
        <v>1369</v>
      </c>
      <c r="M14" s="197">
        <f t="shared" si="7"/>
        <v>211</v>
      </c>
      <c r="N14" s="197">
        <f t="shared" si="7"/>
        <v>300</v>
      </c>
      <c r="O14" s="197">
        <f t="shared" si="7"/>
        <v>196</v>
      </c>
      <c r="P14" s="197">
        <f t="shared" si="7"/>
        <v>288</v>
      </c>
      <c r="Q14" s="197">
        <f t="shared" si="7"/>
        <v>552</v>
      </c>
      <c r="R14" s="197">
        <f t="shared" si="7"/>
        <v>2709</v>
      </c>
      <c r="S14" s="197">
        <f t="shared" si="7"/>
        <v>1595</v>
      </c>
      <c r="T14" s="197">
        <f t="shared" si="7"/>
        <v>596</v>
      </c>
      <c r="U14" s="197">
        <f t="shared" si="7"/>
        <v>658</v>
      </c>
      <c r="V14" s="197">
        <f t="shared" si="7"/>
        <v>1533</v>
      </c>
      <c r="W14" s="197">
        <f t="shared" si="7"/>
        <v>158</v>
      </c>
      <c r="X14" s="197">
        <f t="shared" si="7"/>
        <v>215</v>
      </c>
      <c r="Y14" s="197">
        <f t="shared" si="7"/>
        <v>92</v>
      </c>
      <c r="Z14" s="197">
        <f t="shared" si="7"/>
        <v>103</v>
      </c>
      <c r="AA14" s="197">
        <f t="shared" si="7"/>
        <v>104</v>
      </c>
      <c r="AB14" s="197">
        <f t="shared" si="7"/>
        <v>91</v>
      </c>
      <c r="AC14" s="197">
        <f t="shared" si="7"/>
        <v>0</v>
      </c>
      <c r="AD14" s="197">
        <f t="shared" si="7"/>
        <v>0</v>
      </c>
      <c r="AE14" s="197">
        <f t="shared" si="7"/>
        <v>0</v>
      </c>
      <c r="AF14" s="197">
        <f>SUBTOTAL(9,AF9:AF13)</f>
        <v>0</v>
      </c>
      <c r="AG14" s="197">
        <f t="shared" ref="AG14:AT14" si="8">SUBTOTAL(9,AG8:AG13)</f>
        <v>75</v>
      </c>
      <c r="AH14" s="197">
        <f t="shared" si="8"/>
        <v>77</v>
      </c>
      <c r="AI14" s="197">
        <f t="shared" si="8"/>
        <v>77</v>
      </c>
      <c r="AJ14" s="197">
        <f t="shared" si="8"/>
        <v>75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1670</v>
      </c>
      <c r="AZ14" s="197">
        <f>SUBTOTAL(9,AZ8:AZ13)</f>
        <v>673</v>
      </c>
      <c r="BA14" s="197">
        <f>SUBTOTAL(9,BA8:BA13)</f>
        <v>735</v>
      </c>
      <c r="BB14" s="197">
        <f>SUBTOTAL(9,BB8:BB13)</f>
        <v>1608</v>
      </c>
      <c r="BC14" s="197">
        <f>SUBTOTAL(9,BC8:BC13)</f>
        <v>221</v>
      </c>
      <c r="BD14" s="219">
        <f>IF(ISNUMBER(BA14/AZ14),BA14/AZ14," - ")</f>
        <v>1.0921248142644873</v>
      </c>
      <c r="BE14" s="220">
        <f>IF(ISNUMBER(BB14/BA14),BB14/BA14, " - ")</f>
        <v>2.1877551020408164</v>
      </c>
      <c r="BF14" s="220">
        <f>IF(ISNUMBER(BC14/BA14),BC14/BA14, " - ")</f>
        <v>0.30068027210884352</v>
      </c>
      <c r="BG14" s="221">
        <f>IF(ISNUMBER((AY14+AZ14)/BA14),(AY14+AZ14)/BA14," - ")</f>
        <v>3.1877551020408164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684</v>
      </c>
      <c r="J17" s="196">
        <v>544</v>
      </c>
      <c r="K17" s="196">
        <v>544</v>
      </c>
      <c r="L17" s="196">
        <v>705</v>
      </c>
      <c r="M17" s="196">
        <v>90</v>
      </c>
      <c r="N17" s="196">
        <v>297</v>
      </c>
      <c r="O17" s="194">
        <v>0</v>
      </c>
      <c r="P17" s="196">
        <v>27</v>
      </c>
      <c r="Q17" s="196">
        <v>38</v>
      </c>
      <c r="R17" s="196">
        <v>73</v>
      </c>
      <c r="S17" s="196">
        <v>941</v>
      </c>
      <c r="T17" s="196">
        <v>724</v>
      </c>
      <c r="U17" s="196">
        <v>814</v>
      </c>
      <c r="V17" s="196">
        <v>865</v>
      </c>
      <c r="W17" s="196">
        <v>138</v>
      </c>
      <c r="X17" s="202">
        <v>407</v>
      </c>
      <c r="Y17" s="215">
        <v>0</v>
      </c>
      <c r="Z17" s="196">
        <v>0</v>
      </c>
      <c r="AA17" s="196">
        <v>0</v>
      </c>
      <c r="AB17" s="196">
        <v>0</v>
      </c>
      <c r="AC17" s="196">
        <v>0</v>
      </c>
      <c r="AD17" s="196">
        <v>3</v>
      </c>
      <c r="AE17" s="196">
        <v>3</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941</v>
      </c>
      <c r="AZ17" s="137">
        <f t="shared" si="10"/>
        <v>724</v>
      </c>
      <c r="BA17" s="137">
        <f t="shared" si="10"/>
        <v>814</v>
      </c>
      <c r="BB17" s="137">
        <f t="shared" si="10"/>
        <v>865</v>
      </c>
      <c r="BC17" s="135">
        <f>IF(ISNUMBER(W17),W17," - ")</f>
        <v>138</v>
      </c>
      <c r="BD17" s="136">
        <f t="shared" ref="BD17:BD22" si="12">IF(ISNUMBER(BA17/AZ17),BA17/AZ17," - ")</f>
        <v>1.1243093922651934</v>
      </c>
      <c r="BE17" s="137">
        <f t="shared" ref="BE17:BE22" si="13">IF(ISNUMBER(BB17/BA17),BB17/BA17, " - ")</f>
        <v>1.0626535626535627</v>
      </c>
      <c r="BF17" s="137">
        <f t="shared" ref="BF17:BF22" si="14">IF(ISNUMBER(BC17/BA17),BC17/BA17, " - ")</f>
        <v>0.16953316953316952</v>
      </c>
      <c r="BG17" s="209">
        <f t="shared" si="11"/>
        <v>2.0454545454545454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89</v>
      </c>
      <c r="K18" s="196">
        <v>105</v>
      </c>
      <c r="L18" s="196">
        <v>31</v>
      </c>
      <c r="M18" s="196">
        <v>70</v>
      </c>
      <c r="N18" s="196">
        <v>21</v>
      </c>
      <c r="O18" s="196">
        <v>0</v>
      </c>
      <c r="P18" s="196">
        <v>20</v>
      </c>
      <c r="Q18" s="196">
        <v>29</v>
      </c>
      <c r="R18" s="196">
        <v>15</v>
      </c>
      <c r="S18" s="196">
        <v>67</v>
      </c>
      <c r="T18" s="196">
        <v>92</v>
      </c>
      <c r="U18" s="196">
        <v>75</v>
      </c>
      <c r="V18" s="196">
        <v>84</v>
      </c>
      <c r="W18" s="196">
        <v>11</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92</v>
      </c>
      <c r="BA18" s="139">
        <f t="shared" si="15"/>
        <v>75</v>
      </c>
      <c r="BB18" s="139">
        <f t="shared" si="15"/>
        <v>84</v>
      </c>
      <c r="BC18" s="135">
        <f>IF(ISNUMBER(W18),W18," - ")</f>
        <v>11</v>
      </c>
      <c r="BD18" s="136">
        <f>IF(ISNUMBER(BA18/AZ18),BA18/AZ18," - ")</f>
        <v>0.81521739130434778</v>
      </c>
      <c r="BE18" s="137">
        <f>IF(ISNUMBER(BB18/BA18),BB18/BA18, " - ")</f>
        <v>1.1200000000000001</v>
      </c>
      <c r="BF18" s="137">
        <f>IF(ISNUMBER(BC18/BA18),BC18/BA18, " - ")</f>
        <v>0.14666666666666667</v>
      </c>
      <c r="BG18" s="209">
        <f>IF(ISNUMBER((AY18+AZ18)/BA18),(AY18+AZ18)/BA18," - ")</f>
        <v>2.12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731</v>
      </c>
      <c r="J23" s="197">
        <f t="shared" si="21"/>
        <v>633</v>
      </c>
      <c r="K23" s="197">
        <f t="shared" si="21"/>
        <v>649</v>
      </c>
      <c r="L23" s="197">
        <f t="shared" si="21"/>
        <v>736</v>
      </c>
      <c r="M23" s="197">
        <f t="shared" si="21"/>
        <v>160</v>
      </c>
      <c r="N23" s="197">
        <f t="shared" si="21"/>
        <v>318</v>
      </c>
      <c r="O23" s="197">
        <f t="shared" si="21"/>
        <v>0</v>
      </c>
      <c r="P23" s="197">
        <f t="shared" si="21"/>
        <v>47</v>
      </c>
      <c r="Q23" s="197">
        <f t="shared" si="21"/>
        <v>67</v>
      </c>
      <c r="R23" s="197">
        <f t="shared" si="21"/>
        <v>88</v>
      </c>
      <c r="S23" s="197">
        <f t="shared" si="21"/>
        <v>1008</v>
      </c>
      <c r="T23" s="197">
        <f t="shared" si="21"/>
        <v>816</v>
      </c>
      <c r="U23" s="197">
        <f t="shared" si="21"/>
        <v>889</v>
      </c>
      <c r="V23" s="197">
        <f t="shared" si="21"/>
        <v>949</v>
      </c>
      <c r="W23" s="197">
        <f t="shared" si="21"/>
        <v>149</v>
      </c>
      <c r="X23" s="197">
        <f t="shared" si="21"/>
        <v>449</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1008</v>
      </c>
      <c r="AZ23" s="197">
        <f>SUBTOTAL(9,AZ15:AZ22)</f>
        <v>816</v>
      </c>
      <c r="BA23" s="197">
        <f>SUBTOTAL(9,BA15:BA22)</f>
        <v>889</v>
      </c>
      <c r="BB23" s="197">
        <f>SUBTOTAL(9,BB15:BB22)</f>
        <v>949</v>
      </c>
      <c r="BC23" s="197">
        <f>SUBTOTAL(9,BC15:BC22)</f>
        <v>149</v>
      </c>
      <c r="BD23" s="219">
        <f>IF(ISNUMBER(BA23/AZ23),BA23/AZ23," - ")</f>
        <v>1.0894607843137254</v>
      </c>
      <c r="BE23" s="220">
        <f>IF(ISNUMBER(BB23/BA23),BB23/BA23, " - ")</f>
        <v>1.0674915635545557</v>
      </c>
      <c r="BF23" s="220">
        <f>IF(ISNUMBER(BC23/BA23),BC23/BA23, " - ")</f>
        <v>0.16760404949381327</v>
      </c>
      <c r="BG23" s="221">
        <f>IF(ISNUMBER((AY23+AZ23)/BA23),(AY23+AZ23)/BA23," - ")</f>
        <v>2.0517435320584925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2040</v>
      </c>
      <c r="J31" s="144">
        <f t="shared" si="36"/>
        <v>1270</v>
      </c>
      <c r="K31" s="144">
        <f t="shared" si="36"/>
        <v>1229</v>
      </c>
      <c r="L31" s="144">
        <f t="shared" si="36"/>
        <v>2105</v>
      </c>
      <c r="M31" s="144">
        <f t="shared" si="36"/>
        <v>371</v>
      </c>
      <c r="N31" s="144">
        <f t="shared" si="36"/>
        <v>618</v>
      </c>
      <c r="O31" s="144">
        <f t="shared" si="36"/>
        <v>196</v>
      </c>
      <c r="P31" s="144">
        <f t="shared" si="36"/>
        <v>335</v>
      </c>
      <c r="Q31" s="144">
        <f t="shared" si="36"/>
        <v>619</v>
      </c>
      <c r="R31" s="144">
        <f t="shared" si="36"/>
        <v>2797</v>
      </c>
      <c r="S31" s="144">
        <f t="shared" si="36"/>
        <v>2603</v>
      </c>
      <c r="T31" s="144">
        <f t="shared" si="36"/>
        <v>1412</v>
      </c>
      <c r="U31" s="144">
        <f t="shared" si="36"/>
        <v>1547</v>
      </c>
      <c r="V31" s="144">
        <f t="shared" si="36"/>
        <v>2482</v>
      </c>
      <c r="W31" s="144">
        <f t="shared" si="36"/>
        <v>307</v>
      </c>
      <c r="X31" s="144">
        <f t="shared" si="36"/>
        <v>664</v>
      </c>
      <c r="Y31" s="144">
        <f t="shared" si="36"/>
        <v>92</v>
      </c>
      <c r="Z31" s="144">
        <f t="shared" si="36"/>
        <v>103</v>
      </c>
      <c r="AA31" s="144">
        <f t="shared" si="36"/>
        <v>104</v>
      </c>
      <c r="AB31" s="144">
        <f t="shared" si="36"/>
        <v>91</v>
      </c>
      <c r="AC31" s="144">
        <f t="shared" si="36"/>
        <v>0</v>
      </c>
      <c r="AD31" s="144">
        <f t="shared" si="36"/>
        <v>3</v>
      </c>
      <c r="AE31" s="144">
        <f t="shared" si="36"/>
        <v>3</v>
      </c>
      <c r="AF31" s="144">
        <f t="shared" si="36"/>
        <v>0</v>
      </c>
      <c r="AG31" s="144">
        <f t="shared" si="36"/>
        <v>75</v>
      </c>
      <c r="AH31" s="144">
        <f t="shared" si="36"/>
        <v>77</v>
      </c>
      <c r="AI31" s="144">
        <f t="shared" si="36"/>
        <v>77</v>
      </c>
      <c r="AJ31" s="144">
        <f t="shared" si="36"/>
        <v>75</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2678</v>
      </c>
      <c r="AZ31" s="144">
        <f>SUBTOTAL(9,AZ9:AZ30)</f>
        <v>1489</v>
      </c>
      <c r="BA31" s="144">
        <f>SUBTOTAL(9,BA9:BA30)</f>
        <v>1624</v>
      </c>
      <c r="BB31" s="144">
        <f>SUBTOTAL(9,BB9:BB30)</f>
        <v>2557</v>
      </c>
      <c r="BC31" s="145">
        <f>SUBTOTAL(9,BC9:BC30)</f>
        <v>370</v>
      </c>
      <c r="BD31" s="227">
        <f>IF(ISNUMBER(BA31/AZ31),BA31/AZ31," - ")</f>
        <v>1.0906648757555406</v>
      </c>
      <c r="BE31" s="224">
        <f>IF(ISNUMBER(BB31/BA31),BB31/BA31, " - ")</f>
        <v>1.5745073891625616</v>
      </c>
      <c r="BF31" s="224">
        <f>IF(ISNUMBER(BC31/BA31),BC31/BA31, " - ")</f>
        <v>0.22783251231527094</v>
      </c>
      <c r="BG31" s="145">
        <f>IF(ISNUMBER((AY31+AZ31)/BA31),(AY31+AZ31)/BA31," - ")</f>
        <v>2.5658866995073892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UZeJ4K70StpXraCQ2QsasFKS8Xsu0u/rpg3bvYJ7ENUCMxsB6iMZ9hvaZpxO+XkC6CcOGehuv7nPgvtuTzgWw==" saltValue="T8srmiiHC3UTs2kjNtLN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GeU768CDc2zeef5vnhEL33r2Bw5Dj3ZofUSsB5Eqet4JfLTllueAI75t6EKG/4zobsNjfQvQ3AQ8kP+qqW3w==" saltValue="YGbYl9eKrPAgyOBd25NA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POSADAS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11</v>
      </c>
      <c r="AD10" s="549"/>
      <c r="AE10" s="563"/>
      <c r="AF10" s="551">
        <f>IF(ISNUMBER(Datos!L10),Datos!L10,"-")</f>
        <v>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103</v>
      </c>
      <c r="O12" s="549"/>
      <c r="P12" s="549"/>
      <c r="Q12" s="547">
        <f>IF(ISNUMBER(Datos!P12),Datos!P12,0)</f>
        <v>285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2707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208</v>
      </c>
      <c r="BD12" s="693">
        <f>IF(ISNUMBER(Datos!N12),Datos!N12," - ")</f>
        <v>300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0.92276422764227639</v>
      </c>
      <c r="BH12" s="764">
        <f>IF(ISNUMBER(((IF(J_V="SI",Datos!L12/Datos!K12,(Datos!L12+Datos!AB12)/(Datos!K12+Datos!AA12)))*11)/factor_trimestre),((IF(J_V="SI",Datos!L12/Datos!K12,(Datos!L12+Datos!AB12)/(Datos!K12+Datos!AA12)))*11)/factor_trimestre," - ")</f>
        <v>6.4229074889867848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-8.639892001349983E-2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103</v>
      </c>
      <c r="O14" s="1199">
        <f t="shared" si="1"/>
        <v>0</v>
      </c>
      <c r="P14" s="1199">
        <f t="shared" si="1"/>
        <v>0</v>
      </c>
      <c r="Q14" s="1198">
        <f t="shared" si="1"/>
        <v>288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552</v>
      </c>
      <c r="AD14" s="1198">
        <f t="shared" si="2"/>
        <v>0</v>
      </c>
      <c r="AE14" s="1198">
        <f t="shared" si="2"/>
        <v>0</v>
      </c>
      <c r="AF14" s="1198">
        <f t="shared" si="2"/>
        <v>2</v>
      </c>
      <c r="AG14" s="1198">
        <f t="shared" si="2"/>
        <v>0</v>
      </c>
      <c r="AH14" s="1198">
        <f t="shared" si="2"/>
        <v>91</v>
      </c>
      <c r="AI14" s="1198">
        <f t="shared" si="2"/>
        <v>0</v>
      </c>
      <c r="AJ14" s="1198">
        <f t="shared" si="2"/>
        <v>0</v>
      </c>
      <c r="AK14" s="1198">
        <f t="shared" si="2"/>
        <v>0</v>
      </c>
      <c r="AL14" s="1198">
        <f t="shared" si="2"/>
        <v>0</v>
      </c>
      <c r="AM14" s="1198">
        <f t="shared" si="2"/>
        <v>2709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211</v>
      </c>
      <c r="BD14" s="1198">
        <f t="shared" si="2"/>
        <v>300</v>
      </c>
      <c r="BE14" s="1198">
        <f t="shared" si="2"/>
        <v>0</v>
      </c>
      <c r="BF14" s="1198">
        <f t="shared" si="2"/>
        <v>0</v>
      </c>
      <c r="BG14" s="1198">
        <f>IF(ISNUMBER(Datos!K14/Datos!J14),Datos!K14/Datos!J14," - ")</f>
        <v>0.9105180533751962</v>
      </c>
      <c r="BH14" s="1202">
        <f>IF(ISNUMBER(((Datos!L14/Datos!K14)*11)/factor_trimestre),((Datos!L14/Datos!K14)*11)/factor_trimestre," - ")</f>
        <v>7.0810344827586214</v>
      </c>
      <c r="BI14" s="1198">
        <f>IF(ISNUMBER('Resol  Asuntos'!D14/NºAsuntos!G14),'Resol  Asuntos'!D14/NºAsuntos!G14," - ")</f>
        <v>0.30847953216374269</v>
      </c>
      <c r="BJ14" s="1198" t="str">
        <f>IF(ISNUMBER(Datos!CI14/Datos!CJ14),Datos!CI14/Datos!CJ14," - ")</f>
        <v xml:space="preserve"> - </v>
      </c>
      <c r="BK14" s="1198">
        <f>SUBTOTAL(9,BK8:BK13)</f>
        <v>0</v>
      </c>
      <c r="BL14" s="1198">
        <f>IF(ISNUMBER((I14-AB14+L14)/(F14)),(I14-AB14+L14)/(F14)," - ")</f>
        <v>-1</v>
      </c>
      <c r="BM14" s="1203">
        <f>SUBTOTAL(9,BM9:BM13)</f>
        <v>-0.88639892001349985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705</v>
      </c>
      <c r="G17" s="743">
        <f>IF(ISNUMBER(IF(D_I="SI",Datos!I17,Datos!I17+Datos!AC17)),IF(D_I="SI",Datos!I17,Datos!I17+Datos!AC17)," - ")</f>
        <v>684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544</v>
      </c>
      <c r="AC17" s="240">
        <f>IF(ISNUMBER(Datos!Q17),Datos!Q17," - ")</f>
        <v>38</v>
      </c>
      <c r="AD17" s="374"/>
      <c r="AE17" s="562"/>
      <c r="AF17" s="741">
        <f>IF(ISNUMBER(IF(D_I="SI",Datos!L17,Datos!L17+Datos!AF17)),IF(D_I="SI",Datos!L17,Datos!L17+Datos!AF17)," - ")</f>
        <v>705</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297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3.8878676470588234</v>
      </c>
      <c r="BI17" s="266">
        <f>IF(ISNUMBER('Resol  Asuntos'!D17/NºAsuntos!G17),'Resol  Asuntos'!D17/NºAsuntos!G17," - ")</f>
        <v>0.16544117647058823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29</v>
      </c>
      <c r="AD18" s="549"/>
      <c r="AE18" s="562"/>
      <c r="AF18" s="551">
        <f>IF(ISNUMBER(Datos!L18),Datos!L18,"-")</f>
        <v>31</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1.1797752808988764</v>
      </c>
      <c r="BH18" s="764">
        <f>IF(ISNUMBER(((IF(D_I="SI",Datos!L18/Datos!K18,(Datos!L18+Datos!AF18)/(Datos!K18+Datos!AE18)))*11)/factor_trimestre),((IF(D_I="SI",Datos!L18/Datos!K18,(Datos!L18+Datos!AF18)/(Datos!K18+Datos!AE18)))*11)/factor_trimestre," - ")</f>
        <v>0.88571428571428579</v>
      </c>
      <c r="BI18" s="763">
        <f>IF(ISNUMBER('Resol  Asuntos'!D18/NºAsuntos!G18),'Resol  Asuntos'!D18/NºAsuntos!G18," - ")</f>
        <v>0.66666666666666663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705</v>
      </c>
      <c r="G23" s="1197">
        <f>SUBTOTAL(9,G16:G22)</f>
        <v>731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649</v>
      </c>
      <c r="AC23" s="1198">
        <f t="shared" si="5"/>
        <v>67</v>
      </c>
      <c r="AD23" s="1198">
        <f t="shared" si="5"/>
        <v>0</v>
      </c>
      <c r="AE23" s="1198">
        <f t="shared" si="5"/>
        <v>0</v>
      </c>
      <c r="AF23" s="1198">
        <f t="shared" si="5"/>
        <v>736</v>
      </c>
      <c r="AG23" s="1198">
        <f t="shared" si="5"/>
        <v>0</v>
      </c>
      <c r="AH23" s="1198">
        <f t="shared" si="5"/>
        <v>0</v>
      </c>
      <c r="AI23" s="1198">
        <f t="shared" si="5"/>
        <v>0</v>
      </c>
      <c r="AJ23" s="1198">
        <f t="shared" si="5"/>
        <v>0</v>
      </c>
      <c r="AK23" s="1198">
        <f t="shared" si="5"/>
        <v>0</v>
      </c>
      <c r="AL23" s="1198">
        <f t="shared" si="5"/>
        <v>0</v>
      </c>
      <c r="AM23" s="1198">
        <f t="shared" si="5"/>
        <v>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160</v>
      </c>
      <c r="BD23" s="1198">
        <f t="shared" si="5"/>
        <v>318</v>
      </c>
      <c r="BE23" s="1198">
        <f t="shared" si="5"/>
        <v>0</v>
      </c>
      <c r="BF23" s="1198">
        <f t="shared" si="5"/>
        <v>0</v>
      </c>
      <c r="BG23" s="1198">
        <f>IF(ISNUMBER(Datos!K23/Datos!J23),Datos!K23/Datos!J23," - ")</f>
        <v>1.0252764612954186</v>
      </c>
      <c r="BH23" s="1202">
        <f>IF(ISNUMBER(((Datos!L23/Datos!K23)*11)/factor_trimestre),((Datos!L23/Datos!K23)*11)/factor_trimestre," - ")</f>
        <v>3.4021571648690294</v>
      </c>
      <c r="BI23" s="1198">
        <f>SUBTOTAL(9,BI16:BI22)</f>
        <v>0.83210784313725483</v>
      </c>
      <c r="BJ23" s="1198">
        <f>SUBTOTAL(9,BJ16:BJ22)</f>
        <v>0</v>
      </c>
      <c r="BK23" s="1198">
        <f>SUBTOTAL(9,BK16:BK22)</f>
        <v>0</v>
      </c>
      <c r="BL23" s="1198">
        <f>IF(ISNUMBER((I23-AB23+L23)/(F23)),(I23-AB23+L23)/(F23)," - ")</f>
        <v>-0.92056737588652482</v>
      </c>
      <c r="BM23" s="1205">
        <f>IF(ISNUMBER((Datos!P23-Datos!Q23)/(Datos!R23-Datos!P23+Datos!Q23)),(Datos!P23-Datos!Q23)/(Datos!R23-Datos!P23+Datos!Q23)," - ")</f>
        <v>-0.18518518518518517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708</v>
      </c>
      <c r="G31" s="1117">
        <f t="shared" si="18"/>
        <v>734</v>
      </c>
      <c r="H31" s="1119">
        <f t="shared" si="18"/>
        <v>0</v>
      </c>
      <c r="I31" s="1117">
        <f t="shared" si="18"/>
        <v>0</v>
      </c>
      <c r="J31" s="1119">
        <f t="shared" si="18"/>
        <v>0</v>
      </c>
      <c r="K31" s="1119">
        <f t="shared" si="18"/>
        <v>0</v>
      </c>
      <c r="L31" s="1180">
        <f t="shared" si="18"/>
        <v>0</v>
      </c>
      <c r="M31" s="1180">
        <f t="shared" si="18"/>
        <v>0</v>
      </c>
      <c r="N31" s="1180">
        <f t="shared" si="18"/>
        <v>103</v>
      </c>
      <c r="O31" s="1180">
        <f t="shared" si="18"/>
        <v>0</v>
      </c>
      <c r="P31" s="1180">
        <f t="shared" si="18"/>
        <v>0</v>
      </c>
      <c r="Q31" s="1119">
        <f t="shared" si="18"/>
        <v>335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652</v>
      </c>
      <c r="AC31" s="1118">
        <f t="shared" si="19"/>
        <v>619</v>
      </c>
      <c r="AD31" s="1118">
        <f t="shared" si="19"/>
        <v>0</v>
      </c>
      <c r="AE31" s="1118">
        <f t="shared" si="19"/>
        <v>0</v>
      </c>
      <c r="AF31" s="1125">
        <f t="shared" si="19"/>
        <v>738</v>
      </c>
      <c r="AG31" s="1125">
        <f t="shared" si="19"/>
        <v>0</v>
      </c>
      <c r="AH31" s="1125">
        <f t="shared" si="19"/>
        <v>91</v>
      </c>
      <c r="AI31" s="1125">
        <f t="shared" si="19"/>
        <v>0</v>
      </c>
      <c r="AJ31" s="1118">
        <f t="shared" si="19"/>
        <v>0</v>
      </c>
      <c r="AK31" s="1125">
        <f t="shared" si="19"/>
        <v>0</v>
      </c>
      <c r="AL31" s="1125">
        <f t="shared" si="19"/>
        <v>0</v>
      </c>
      <c r="AM31" s="1125">
        <f t="shared" si="19"/>
        <v>2797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371</v>
      </c>
      <c r="BD31" s="1117">
        <f t="shared" si="19"/>
        <v>618</v>
      </c>
      <c r="BE31" s="1117">
        <f t="shared" si="19"/>
        <v>0</v>
      </c>
      <c r="BF31" s="1127">
        <f t="shared" si="19"/>
        <v>0</v>
      </c>
      <c r="BG31" s="1223">
        <f>IF(ISNUMBER(Datos!K31/Datos!J31),Datos!K31/Datos!J31," - ")</f>
        <v>0.9677165354330709</v>
      </c>
      <c r="BH31" s="1223">
        <f>IF(ISNUMBER(((Datos!L31/Datos!K31)*11)/factor_trimestre),((Datos!L31/Datos!K31)*11)/factor_trimestre," - ")</f>
        <v>5.1383238405207488</v>
      </c>
      <c r="BI31" s="1103">
        <f>IF(ISNUMBER(Datos!J31/Datos!I31),Datos!J31/Datos!I31," - ")</f>
        <v>0.62254901960784315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-0.92090395480225984</v>
      </c>
      <c r="BM31" s="1188">
        <f>IF(ISNUMBER((Datos!P31-Datos!Q31+R31)/(Datos!R31-Datos!P31+Datos!Q31-R31)),(Datos!P31-Datos!Q31+R31)/(Datos!R31-Datos!P31+Datos!Q31-R31)," - ")</f>
        <v>-9.2177864329763062E-2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363.28831525387653</v>
      </c>
      <c r="G33" s="674">
        <f>IF(ISNUMBER(STDEV(G8:G30)),STDEV(G8:G30),"-")</f>
        <v>340.73044785466135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284.38923695392918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90.690604333005268</v>
      </c>
      <c r="BD33" s="673"/>
      <c r="BE33" s="673">
        <f>IF(ISNUMBER(STDEV(BE8:BE30)),STDEV(BE8:BE30),"-")</f>
        <v>0</v>
      </c>
      <c r="BF33" s="678">
        <f>IF(ISNUMBER(STDEV(BF8:BF30)),STDEV(BF8:BF30),"-")</f>
        <v>0</v>
      </c>
      <c r="BG33" s="1052">
        <f>IF(ISNUMBER(STDEV(BG8:BG30)),STDEV(BG8:BG30),"-")</f>
        <v>0.22299320512672571</v>
      </c>
      <c r="BH33" s="1058">
        <f>IF(ISNUMBER(STDEV(BH8:BH30)),STDEV(BH8:BH30),"-")</f>
        <v>2.4254862898622545</v>
      </c>
      <c r="BI33" s="273">
        <f>IF(ISNUMBER(STDEV(BI8:BI30)),STDEV(BI8:BI30),"-")</f>
        <v>0.3090289659986728</v>
      </c>
      <c r="BJ33" s="244" t="str">
        <f>IF(ISNUMBER(BL33/BM33),BL33/BM33," - ")</f>
        <v xml:space="preserve"> - </v>
      </c>
      <c r="BK33" s="709"/>
      <c r="BL33" s="681">
        <f>IF(ISNUMBER(STDEV(BL8:BL30)),STDEV(BL8:BL30),"-")</f>
        <v>5.6167347158080375E-2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zk0KIOA6vGyO+PNXwk7a0JWXf5goVs71/BkMI4R3pvjlgidrY0cEKVTINxqBjXGrhGz5hqe0B6tE6P6kcR6A==" saltValue="RnCDWihGeXdboy/ivb5G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POSADAS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11</v>
      </c>
      <c r="AA10" s="551">
        <f>IF(ISNUMBER(Datos!L10),Datos!L10,"-")</f>
        <v>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541</v>
      </c>
      <c r="AA12" s="551" t="str">
        <f>IF(ISNUMBER(IF(J_V="SI",Datos!L12,Datos!L12+Datos!AB12)-IF(Monitorios="SI",Datos!CD12,0)),
                          IF(J_V="SI",Datos!L12,Datos!L12+Datos!AB12)-IF(Monitorios="SI",Datos!CD12,0),
                          " - ")</f>
        <v xml:space="preserve"> - </v>
      </c>
      <c r="AB12" s="549"/>
      <c r="AC12" s="549"/>
      <c r="AD12" s="563"/>
      <c r="AE12" s="563">
        <f>IF(ISNUMBER(Datos!R12),Datos!R12," - ")</f>
        <v>2707</v>
      </c>
      <c r="AF12" s="693" t="str">
        <f>IF(ISNUMBER(Datos!BV12),Datos!BV12," - ")</f>
        <v xml:space="preserve"> - </v>
      </c>
      <c r="AG12" s="552" t="str">
        <f>IF(ISNUMBER(Datos!DV12),Datos!DV12," - ")</f>
        <v xml:space="preserve"> - </v>
      </c>
      <c r="AH12" s="553"/>
      <c r="AI12" s="554"/>
      <c r="AJ12" s="552">
        <f>IF(ISNUMBER(Datos!M12),Datos!M12," - ")</f>
        <v>208</v>
      </c>
      <c r="AK12" s="693">
        <f>IF(ISNUMBER(Datos!N12),Datos!N12," - ")</f>
        <v>300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6.4229074889867848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-8.639892001349983E-2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552</v>
      </c>
      <c r="AA14" s="1199">
        <f t="shared" si="3"/>
        <v>2</v>
      </c>
      <c r="AB14" s="1199">
        <f t="shared" si="3"/>
        <v>0</v>
      </c>
      <c r="AC14" s="1199">
        <f t="shared" si="3"/>
        <v>0</v>
      </c>
      <c r="AD14" s="1199">
        <f t="shared" si="3"/>
        <v>0</v>
      </c>
      <c r="AE14" s="1199">
        <f t="shared" si="3"/>
        <v>2709</v>
      </c>
      <c r="AF14" s="1211">
        <f t="shared" si="3"/>
        <v>0</v>
      </c>
      <c r="AG14" s="1211">
        <f t="shared" si="3"/>
        <v>0</v>
      </c>
      <c r="AH14" s="1211">
        <f t="shared" si="3"/>
        <v>0</v>
      </c>
      <c r="AI14" s="1211">
        <f t="shared" si="3"/>
        <v>0</v>
      </c>
      <c r="AJ14" s="1211">
        <f t="shared" si="3"/>
        <v>211</v>
      </c>
      <c r="AK14" s="1211">
        <f t="shared" si="3"/>
        <v>300</v>
      </c>
      <c r="AL14" s="1211">
        <f t="shared" si="3"/>
        <v>0</v>
      </c>
      <c r="AM14" s="1211">
        <f t="shared" si="3"/>
        <v>0</v>
      </c>
      <c r="AN14" s="1211">
        <f t="shared" si="3"/>
        <v>0</v>
      </c>
      <c r="AO14" s="1203">
        <f>IF(ISNUMBER(((NºAsuntos!I14/NºAsuntos!G14)*11)/factor_trimestre),((NºAsuntos!I14/NºAsuntos!G14)*11)/factor_trimestre," - ")</f>
        <v>6.4035087719298245</v>
      </c>
      <c r="AP14" s="1213" t="str">
        <f>IF(ISNUMBER(Datos!CI14/Datos!CJ14),Datos!CI14/Datos!CJ14," - ")</f>
        <v xml:space="preserve"> - </v>
      </c>
      <c r="AQ14" s="1236">
        <f t="shared" ref="AQ14:AV14" si="4">SUBTOTAL(9,AQ9:AQ13)</f>
        <v>0</v>
      </c>
      <c r="AR14" s="1236">
        <f t="shared" si="4"/>
        <v>-0.88639892001349985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705</v>
      </c>
      <c r="G17" s="552">
        <f>IF(ISNUMBER(IF(D_I="SI",Datos!I17,Datos!I17+Datos!AC17)),IF(D_I="SI",Datos!I17,Datos!I17+Datos!AC17)," - ")</f>
        <v>684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544</v>
      </c>
      <c r="Z17" s="805">
        <f>IF(ISNUMBER(Datos!Q17),Datos!Q17," - ")</f>
        <v>38</v>
      </c>
      <c r="AA17" s="551">
        <f>IF(ISNUMBER(IF(D_I="SI",Datos!L17,Datos!L17+Datos!AF17)),IF(D_I="SI",Datos!L17,Datos!L17+Datos!AF17)," - ")</f>
        <v>705</v>
      </c>
      <c r="AB17" s="549"/>
      <c r="AC17" s="549"/>
      <c r="AD17" s="563"/>
      <c r="AE17" s="563">
        <f>IF(ISNUMBER(Datos!R17),Datos!R17," - ")</f>
        <v>73</v>
      </c>
      <c r="AF17" s="693" t="str">
        <f>IF(ISNUMBER(Datos!BV17),Datos!BV17," - ")</f>
        <v xml:space="preserve"> - </v>
      </c>
      <c r="AG17" s="552"/>
      <c r="AH17" s="553"/>
      <c r="AI17" s="554"/>
      <c r="AJ17" s="552">
        <f>IF(ISNUMBER(Datos!M17),Datos!M17," - ")</f>
        <v>90</v>
      </c>
      <c r="AK17" s="693">
        <f>IF(ISNUMBER(Datos!N17),Datos!N17," - ")</f>
        <v>297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3.8878676470588234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29</v>
      </c>
      <c r="AA18" s="551">
        <f>IF(ISNUMBER(Datos!L18),Datos!L18,"-")</f>
        <v>31</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70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0.88571428571428579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705</v>
      </c>
      <c r="G23" s="1197">
        <f>SUBTOTAL(9,G16:G22)</f>
        <v>731</v>
      </c>
      <c r="H23" s="1240">
        <f>SUBTOTAL(9,H16:H22)</f>
        <v>0</v>
      </c>
      <c r="I23" s="1217">
        <f>SUBTOTAL(9,I16:I22)</f>
        <v>0</v>
      </c>
      <c r="J23" s="1164">
        <f>SUBTOTAL(9,J15:J22)</f>
        <v>0</v>
      </c>
      <c r="K23" s="1240">
        <f t="shared" ref="K23:S23" si="5">SUBTOTAL(9,K16:K22)</f>
        <v>0</v>
      </c>
      <c r="L23" s="1240">
        <f t="shared" si="5"/>
        <v>0</v>
      </c>
      <c r="M23" s="1240">
        <f t="shared" si="5"/>
        <v>0</v>
      </c>
      <c r="N23" s="1240">
        <f t="shared" si="5"/>
        <v>47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649</v>
      </c>
      <c r="Z23" s="1240">
        <f t="shared" si="6"/>
        <v>67</v>
      </c>
      <c r="AA23" s="1240">
        <f t="shared" si="6"/>
        <v>736</v>
      </c>
      <c r="AB23" s="1240">
        <f t="shared" si="6"/>
        <v>0</v>
      </c>
      <c r="AC23" s="1240">
        <f t="shared" si="6"/>
        <v>0</v>
      </c>
      <c r="AD23" s="1240">
        <f t="shared" si="6"/>
        <v>0</v>
      </c>
      <c r="AE23" s="1240">
        <f t="shared" si="6"/>
        <v>88</v>
      </c>
      <c r="AF23" s="1240">
        <f t="shared" si="6"/>
        <v>0</v>
      </c>
      <c r="AG23" s="1240">
        <f t="shared" si="6"/>
        <v>0</v>
      </c>
      <c r="AH23" s="1240">
        <f t="shared" si="6"/>
        <v>0</v>
      </c>
      <c r="AI23" s="1240">
        <f t="shared" si="6"/>
        <v>0</v>
      </c>
      <c r="AJ23" s="1240">
        <f t="shared" si="6"/>
        <v>160</v>
      </c>
      <c r="AK23" s="1240">
        <f t="shared" si="6"/>
        <v>318</v>
      </c>
      <c r="AL23" s="1240">
        <f t="shared" si="6"/>
        <v>0</v>
      </c>
      <c r="AM23" s="1240">
        <f t="shared" si="6"/>
        <v>0</v>
      </c>
      <c r="AN23" s="1240">
        <f t="shared" si="6"/>
        <v>0</v>
      </c>
      <c r="AO23" s="1242">
        <f>IF(ISNUMBER(((NºAsuntos!I23/NºAsuntos!G23)*11)/factor_trimestre),((NºAsuntos!I23/NºAsuntos!G23)*11)/factor_trimestre," - ")</f>
        <v>3.4021571648690294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708</v>
      </c>
      <c r="G31" s="1117">
        <f t="shared" si="12"/>
        <v>734</v>
      </c>
      <c r="H31" s="1118">
        <f t="shared" si="12"/>
        <v>0</v>
      </c>
      <c r="I31" s="1117">
        <f t="shared" si="12"/>
        <v>0</v>
      </c>
      <c r="J31" s="1119">
        <f t="shared" si="12"/>
        <v>0</v>
      </c>
      <c r="K31" s="1117">
        <f t="shared" si="12"/>
        <v>0</v>
      </c>
      <c r="L31" s="1120">
        <f t="shared" si="12"/>
        <v>0</v>
      </c>
      <c r="M31" s="1117">
        <f t="shared" si="12"/>
        <v>0</v>
      </c>
      <c r="N31" s="1118">
        <f t="shared" si="12"/>
        <v>335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652</v>
      </c>
      <c r="Z31" s="1124">
        <f t="shared" si="13"/>
        <v>619</v>
      </c>
      <c r="AA31" s="1125">
        <f t="shared" si="13"/>
        <v>738</v>
      </c>
      <c r="AB31" s="1125">
        <f t="shared" si="13"/>
        <v>0</v>
      </c>
      <c r="AC31" s="1125">
        <f t="shared" si="13"/>
        <v>0</v>
      </c>
      <c r="AD31" s="1126">
        <f t="shared" si="13"/>
        <v>0</v>
      </c>
      <c r="AE31" s="1126">
        <f t="shared" si="13"/>
        <v>2797</v>
      </c>
      <c r="AF31" s="1127">
        <f t="shared" si="13"/>
        <v>0</v>
      </c>
      <c r="AG31" s="1128">
        <f t="shared" si="13"/>
        <v>0</v>
      </c>
      <c r="AH31" s="1129">
        <f t="shared" si="13"/>
        <v>0</v>
      </c>
      <c r="AI31" s="1127">
        <f t="shared" si="13"/>
        <v>0</v>
      </c>
      <c r="AJ31" s="1117">
        <f t="shared" si="13"/>
        <v>371</v>
      </c>
      <c r="AK31" s="1117">
        <f t="shared" si="13"/>
        <v>618</v>
      </c>
      <c r="AL31" s="1117">
        <f t="shared" si="13"/>
        <v>0</v>
      </c>
      <c r="AM31" s="1130">
        <f t="shared" si="13"/>
        <v>0</v>
      </c>
      <c r="AN31" s="1120">
        <f>IF(ISNUMBER(Datos!K31/Datos!J31),Datos!K31/Datos!J31," - ")</f>
        <v>0.9677165354330709</v>
      </c>
      <c r="AO31" s="1120">
        <f>IF(ISNUMBER(FIND("06",Criterios!A8,1)),(IF(ISNUMBER(((Datos!R31/Datos!Q31)*11)/factor_trimestre),((Datos!R31/Datos!Q31)*11)/factor_trimestre," - ")),(IF(ISNUMBER(((Datos!L31/Datos!K31)*11)/factor_trimestre),((Datos!L31/Datos!K31)*11)/factor_trimestre," - ")))</f>
        <v>5.1383238405207488</v>
      </c>
      <c r="AP31" s="1131" t="str">
        <f>IF(ISNUMBER(Datos!CI31/Datos!CJ31),Datos!CI31/Datos!CJ31," - ")</f>
        <v xml:space="preserve"> - </v>
      </c>
      <c r="AQ31" s="1131">
        <f>IF(OR(ISNUMBER(FIND("01",Criterios!A8,1)),ISNUMBER(FIND("02",Criterios!A8,1)),ISNUMBER(FIND("03",Criterios!A8,1)),ISNUMBER(FIND("04",Criterios!A8,1))),(J31-Y31+K31)/(F31-K31),(I31-Y31+K31)/(F31-K31))</f>
        <v>-0.92090395480225984</v>
      </c>
      <c r="AR31" s="1131">
        <f>IF(ISNUMBER((Datos!P31-Datos!Q31+O31)/(Datos!R31-Datos!P31+Datos!Q31-O31)),(Datos!P31-Datos!Q31+O31)/(Datos!R31-Datos!P31+Datos!Q31-O31)," - ")</f>
        <v>-9.2177864329763062E-2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363.28831525387653</v>
      </c>
      <c r="G33" s="674">
        <f>IF(ISNUMBER(STDEV(G8:G30)),STDEV(G8:G30),"-")</f>
        <v>340.73044785466135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90.690604333005268</v>
      </c>
      <c r="AK33" s="276"/>
      <c r="AL33" s="276">
        <f>IF(ISNUMBER(STDEV(AL8:AL30)),STDEV(AL8:AL30),"-")</f>
        <v>0</v>
      </c>
      <c r="AM33" s="278">
        <f>IF(ISNUMBER(STDEV(AM8:AM30)),STDEV(AM8:AM30),"-")</f>
        <v>0</v>
      </c>
      <c r="AN33" s="660">
        <f>IF(ISNUMBER(STDEV(AN8:AN30)),STDEV(AN8:AN30),"-")</f>
        <v>0</v>
      </c>
      <c r="AO33" s="661">
        <f>IF(ISNUMBER(STDEV(AO8:AO30)),STDEV(AO8:AO30),"-")</f>
        <v>2.2605376068163077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JBNwMoEtZZH6z/jbV45tpL/2PTzA0zxAob9WX/WWmz3H7oxoeOtSvV1ZM1iWAJBOvpR6DBjbI/zqpzusu6mA==" saltValue="zZsIgl6d4ZFSq/PQRUvb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3Oh+KVpYMGSJI1omUwuDeVaroO6AR/4vaIPLhi4wzPoPC4BxjV1BRd0RPtV0gtyVzxKuLdHdBgx+dAsct47Uw==" saltValue="DzqLKiPp6n2rCYvuAsB4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XZ7UQ+szOPL1DwTVBxbcvjpRHRLO/POsuNc8fMdPgtE42yd7I77yXTMd2N1GyzCAytKS7JMweQ2RGEbt3uBg==" saltValue="0TbsPbrBmLh9mxy5Zktl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POSADAS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0.30847953216374269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0.21812796905023615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vGQsMQ/vKs3dk71c6lwg6URnFzdLbvHFz0M4QLcsLACPxwDhE2o6NQFB4xdN+UWe4sPtNB+QFRhvOaFdEX7Jg==" saltValue="zcU3ZAmMt3/B0swZpJDE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4vRZY4EPBRDUJHJ2ucvdqo2MvTq+LxjyYvtRCC2PdcMtZ4AvGUM46I/dRgLNWthzO9XgfvD/FQyjMYf5pFagg==" saltValue="mF/+u5sb6QkYV8uJX6E0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POSADAS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1398</v>
      </c>
      <c r="D12" s="452">
        <f>IF(ISNUMBER(C12/Datos!BH12),C12/Datos!BH12," - ")</f>
        <v>466</v>
      </c>
      <c r="E12" s="451">
        <f>IF(ISNUMBER(IF(J_V="SI",Datos!J12,Datos!J12+Datos!Z12)),IF(J_V="SI",Datos!J12,Datos!J12+Datos!Z12)," - ")</f>
        <v>738</v>
      </c>
      <c r="F12" s="452">
        <f>IF(ISNUMBER(E12/B12),E12/B12," - ")</f>
        <v>246</v>
      </c>
      <c r="G12" s="451">
        <f>IF(ISNUMBER(IF(J_V="SI",Datos!K12,Datos!K12+Datos!AA12)),IF(J_V="SI",Datos!K12,Datos!K12+Datos!AA12)," - ")</f>
        <v>681</v>
      </c>
      <c r="H12" s="452">
        <f>IF(ISNUMBER(G12/B12),G12/B12," - ")</f>
        <v>227</v>
      </c>
      <c r="I12" s="451">
        <f>IF(ISNUMBER(IF(J_V="SI",Datos!L12,Datos!L12+Datos!AB12)),IF(J_V="SI",Datos!L12,Datos!L12+Datos!AB12)," - ")</f>
        <v>1458</v>
      </c>
      <c r="J12" s="452">
        <f>IF(ISNUMBER(I12/B12),I12/B12," - ")</f>
        <v>486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1401</v>
      </c>
      <c r="D14" s="1147" t="str">
        <f>IF(ISNUMBER(C14/Datos!BI14),C14/Datos!BI14," - ")</f>
        <v xml:space="preserve"> - </v>
      </c>
      <c r="E14" s="1146">
        <f>SUBTOTAL(9,E8:E13)</f>
        <v>740</v>
      </c>
      <c r="F14" s="1147">
        <f>IF(ISNUMBER(E14/B14),E14/B14," - ")</f>
        <v>246.66666666666666</v>
      </c>
      <c r="G14" s="1146">
        <f>SUBTOTAL(9,G8:G13)</f>
        <v>684</v>
      </c>
      <c r="H14" s="1147">
        <f>IF(ISNUMBER(G14/B14),G14/B14," - ")</f>
        <v>228</v>
      </c>
      <c r="I14" s="1146">
        <f>SUBTOTAL(9,I8:I13)</f>
        <v>1460</v>
      </c>
      <c r="J14" s="1147">
        <f>IF(ISNUMBER(I14/B14),I14/B14," - ")</f>
        <v>486.66666666666669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684</v>
      </c>
      <c r="D17" s="452">
        <f>IF(ISNUMBER(C17/Datos!BH17),C17/Datos!BH17," - ")</f>
        <v>228</v>
      </c>
      <c r="E17" s="451">
        <f>IF(ISNUMBER(IF(D_I="SI",Datos!J17,Datos!J17+Datos!AD17)),IF(D_I="SI",Datos!J17,Datos!J17+Datos!AD17)," - ")</f>
        <v>544</v>
      </c>
      <c r="F17" s="452">
        <f>IF(ISNUMBER(E17/B17),E17/B17," - ")</f>
        <v>181.33333333333334</v>
      </c>
      <c r="G17" s="451">
        <f>IF(ISNUMBER(IF(D_I="SI",Datos!K17,Datos!K17+Datos!AE17)),IF(D_I="SI",Datos!K17,Datos!K17+Datos!AE17)," - ")</f>
        <v>544</v>
      </c>
      <c r="H17" s="452">
        <f>IF(ISNUMBER(G17/B17),G17/B17," - ")</f>
        <v>181.33333333333334</v>
      </c>
      <c r="I17" s="451">
        <f>IF(ISNUMBER(IF(D_I="SI",Datos!L17,Datos!L17+Datos!AF17)),IF(D_I="SI",Datos!L17,Datos!L17+Datos!AF17)," - ")</f>
        <v>705</v>
      </c>
      <c r="J17" s="452">
        <f>IF(ISNUMBER(I17/B17),I17/B17," - ")</f>
        <v>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89</v>
      </c>
      <c r="F18" s="452">
        <f>IF(ISNUMBER(E18/B18),E18/B18," - ")</f>
        <v>89</v>
      </c>
      <c r="G18" s="451">
        <f>IF(ISNUMBER(IF(D_I="SI",Datos!K18,Datos!K18+Datos!AE18)),IF(D_I="SI",Datos!K18,Datos!K18+Datos!AE18)," - ")</f>
        <v>105</v>
      </c>
      <c r="H18" s="452">
        <f>IF(ISNUMBER(G18/B18),G18/B18," - ")</f>
        <v>105</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731</v>
      </c>
      <c r="D23" s="1147" t="str">
        <f>IF(ISNUMBER(C23/Datos!BI23),C23/Datos!BI23," - ")</f>
        <v xml:space="preserve"> - </v>
      </c>
      <c r="E23" s="1146">
        <f>SUBTOTAL(9,E15:E22)</f>
        <v>633</v>
      </c>
      <c r="F23" s="1147">
        <f>IF(ISNUMBER(E23/B23),E23/B23," - ")</f>
        <v>211</v>
      </c>
      <c r="G23" s="1146">
        <f>SUBTOTAL(9,G15:G22)</f>
        <v>649</v>
      </c>
      <c r="H23" s="1147">
        <f>IF(ISNUMBER(G23/B23),G23/B23," - ")</f>
        <v>216.33333333333334</v>
      </c>
      <c r="I23" s="1146">
        <f>SUBTOTAL(9,I15:I22)</f>
        <v>736</v>
      </c>
      <c r="J23" s="1147">
        <f>IF(ISNUMBER(I23/B23),I23/B23," - ")</f>
        <v>245.33333333333334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2132</v>
      </c>
      <c r="D31" s="1085" t="str">
        <f>IF(ISNUMBER(C31/Datos!BI31),C31/Datos!BI31," - ")</f>
        <v xml:space="preserve"> - </v>
      </c>
      <c r="E31" s="1084">
        <f>SUBTOTAL(9,E9:E30)</f>
        <v>1373</v>
      </c>
      <c r="F31" s="1085">
        <f>IF(ISNUMBER(E31/B31),E31/B31," - ")</f>
        <v>457.66666666666669</v>
      </c>
      <c r="G31" s="1084">
        <f>SUBTOTAL(9,G9:G30)</f>
        <v>1333</v>
      </c>
      <c r="H31" s="1085">
        <f>IF(ISNUMBER(G31/B31),G31/B31," - ")</f>
        <v>444.33333333333331</v>
      </c>
      <c r="I31" s="1084">
        <f>SUBTOTAL(9,I9:I30)</f>
        <v>2196</v>
      </c>
      <c r="J31" s="1085">
        <f>IF(ISNUMBER(I31/B31),I31/B31," - ")</f>
        <v>732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6HMXW5boyeRbAjlIPTrgbDgJ11RzcJ6hFniD1BnXcKIB2ENZKPJoobh1y21I7TBj+Q31Ue+Z5mulDPo9djVIA==" saltValue="ZN/uajLr42BAKXpgsc/n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POSADAS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208</v>
      </c>
      <c r="AM12" s="914">
        <f>IF(ISNUMBER(Datos!N12+DatosP!N17),Datos!N12+DatosP!N17," - ")</f>
        <v>300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6.4229074889867848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-8.639892001349983E-2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541</v>
      </c>
      <c r="AE14" s="1257">
        <f t="shared" si="1"/>
        <v>0</v>
      </c>
      <c r="AF14" s="1257">
        <f t="shared" si="1"/>
        <v>2</v>
      </c>
      <c r="AG14" s="1257">
        <f t="shared" si="1"/>
        <v>0</v>
      </c>
      <c r="AH14" s="1257">
        <f t="shared" si="1"/>
        <v>2707</v>
      </c>
      <c r="AI14" s="1257">
        <f t="shared" si="1"/>
        <v>0</v>
      </c>
      <c r="AJ14" s="1257">
        <f t="shared" si="1"/>
        <v>0</v>
      </c>
      <c r="AK14" s="1257">
        <f t="shared" si="1"/>
        <v>0</v>
      </c>
      <c r="AL14" s="1257">
        <f t="shared" si="1"/>
        <v>211</v>
      </c>
      <c r="AM14" s="1257">
        <f t="shared" si="1"/>
        <v>300</v>
      </c>
      <c r="AN14" s="1257">
        <f t="shared" si="1"/>
        <v>0</v>
      </c>
      <c r="AO14" s="1257">
        <f t="shared" si="1"/>
        <v>0</v>
      </c>
      <c r="AP14" s="1262">
        <f>IF(ISNUMBER(((Datos!L14/Datos!K14)*11)/factor_trimestre),((Datos!L14/Datos!K14)*11)/factor_trimestre," - ")</f>
        <v>7.0810344827586214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-8.639892001349983E-2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3.4021571648690294</v>
      </c>
      <c r="AQ23" s="1262">
        <f>IF(ISNUMBER(((Datos!M23/Datos!L23)*11)/factor_trimestre),((Datos!M23/Datos!L23)*11)/factor_trimestre," - ")</f>
        <v>0.65217391304347827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-0.18518518518518517</v>
      </c>
      <c r="AW23" s="1265">
        <f>IF(ISNUMBER((Datos!Q23-Datos!R23)/(Datos!S23-Datos!Q23+Datos!R23)),(Datos!Q23-Datos!R23)/(Datos!S23-Datos!Q23+Datos!R23)," - ")</f>
        <v>-2.0408163265306121E-2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541</v>
      </c>
      <c r="AE31" s="1284">
        <f t="shared" si="9"/>
        <v>0</v>
      </c>
      <c r="AF31" s="1285">
        <f t="shared" si="9"/>
        <v>2</v>
      </c>
      <c r="AG31" s="1285">
        <f t="shared" si="9"/>
        <v>0</v>
      </c>
      <c r="AH31" s="1285">
        <f t="shared" si="9"/>
        <v>2707</v>
      </c>
      <c r="AI31" s="1285">
        <f t="shared" si="9"/>
        <v>0</v>
      </c>
      <c r="AJ31" s="1286">
        <f t="shared" si="9"/>
        <v>0</v>
      </c>
      <c r="AK31" s="1286">
        <f t="shared" si="9"/>
        <v>0</v>
      </c>
      <c r="AL31" s="1278">
        <f t="shared" si="9"/>
        <v>211</v>
      </c>
      <c r="AM31" s="1278">
        <f t="shared" si="9"/>
        <v>300</v>
      </c>
      <c r="AN31" s="1278">
        <f t="shared" si="9"/>
        <v>0</v>
      </c>
      <c r="AO31" s="1278">
        <f t="shared" si="9"/>
        <v>0</v>
      </c>
      <c r="AP31" s="1278">
        <f>IF(ISNUMBER(((Datos!L31/Datos!K31)*11)/factor_trimestre),((Datos!L31/Datos!K31)*11)/factor_trimestre," - ")</f>
        <v>5.1383238405207488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-9.2177864329763062E-2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107.80847214698234</v>
      </c>
      <c r="AM33" s="1006"/>
      <c r="AN33" s="1006">
        <f>IF(ISNUMBER(STDEV(AN8:AN30)),STDEV(AN8:AN30),"-")</f>
        <v>0</v>
      </c>
      <c r="AO33" s="1012">
        <f>IF(ISNUMBER(STDEV(AO8:AO30)),STDEV(AO8:AO30),"-")</f>
        <v>0</v>
      </c>
      <c r="AP33" s="1065">
        <f>IF(ISNUMBER(STDEV(AP8:AP30)),STDEV(AP8:AP30),"-")</f>
        <v>2.422761316603816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HsmCAyWnVkeaF2bZMCFVvdpa+fWn7nAS9wHPMPumO1TnlfuCvgOa3tVFX5AqJkIQrHWsEJDdP8Yb4+0fQ1rgQ==" saltValue="Hioo8NFLqWu5nrhdS+gJ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POSADAS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6VdIHW/4NjdUjTS1Afb2SaIHzyO6MGANgg8znICNc9zD/e2qqyF9EzmTmonNyCUP7Zj8toOcDU7RMbqgbO9RA==" saltValue="k+Sv7WTq/SzCJkfDu+i/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POSADAS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208</v>
      </c>
      <c r="E12" s="452">
        <f t="shared" si="0"/>
        <v>69.333333333333329</v>
      </c>
      <c r="F12" s="451">
        <f>IF(ISNUMBER(Datos!N12),Datos!N12," - ")</f>
        <v>300</v>
      </c>
      <c r="G12" s="452">
        <f t="shared" si="1"/>
        <v>100</v>
      </c>
      <c r="H12" s="451">
        <f>IF(ISNUMBER(Datos!O12),Datos!O12," - ")</f>
        <v>196</v>
      </c>
      <c r="I12" s="452">
        <f t="shared" si="2"/>
        <v>65.333333333333329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211</v>
      </c>
      <c r="E14" s="1147">
        <f t="shared" si="0"/>
        <v>52.75</v>
      </c>
      <c r="F14" s="1146">
        <f>SUBTOTAL(9,F9:F13)</f>
        <v>300</v>
      </c>
      <c r="G14" s="1147">
        <f t="shared" si="1"/>
        <v>75</v>
      </c>
      <c r="H14" s="1146">
        <f>SUBTOTAL(9,H9:H13)</f>
        <v>196</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90</v>
      </c>
      <c r="E17" s="452">
        <f t="shared" si="3"/>
        <v>30</v>
      </c>
      <c r="F17" s="451">
        <f>IF(ISNUMBER(Datos!N17),Datos!N17," - ")</f>
        <v>297</v>
      </c>
      <c r="G17" s="452">
        <f t="shared" si="4"/>
        <v>99</v>
      </c>
      <c r="H17" s="451">
        <f>IF(ISNUMBER(Datos!O17),Datos!O17," - ")</f>
        <v>0</v>
      </c>
      <c r="I17" s="452">
        <f t="shared" si="5"/>
        <v>0</v>
      </c>
    </row>
    <row r="18" spans="1:9">
      <c r="A18" s="450" t="str">
        <f>Datos!A18</f>
        <v>Jdos. Violencia contra la mujer</v>
      </c>
      <c r="B18" s="480">
        <f>Datos!AO18</f>
        <v>1</v>
      </c>
      <c r="C18" s="481">
        <f>Datos!AQ18</f>
        <v>0</v>
      </c>
      <c r="D18" s="451">
        <f>IF(ISNUMBER(Datos!M18),Datos!M18," - ")</f>
        <v>70</v>
      </c>
      <c r="E18" s="452">
        <f>IF(ISNUMBER(D18/B18),D18/B18," - ")</f>
        <v>70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160</v>
      </c>
      <c r="E23" s="1147">
        <f t="shared" si="3"/>
        <v>40</v>
      </c>
      <c r="F23" s="1146">
        <f>SUBTOTAL(9,F16:F22)</f>
        <v>318</v>
      </c>
      <c r="G23" s="1147">
        <f t="shared" si="4"/>
        <v>79.5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371</v>
      </c>
      <c r="E31" s="1085">
        <f>IF(ISNUMBER(D31/B31),D31/B31," - ")</f>
        <v>123.66666666666667</v>
      </c>
      <c r="F31" s="1084">
        <f>SUBTOTAL(9,F8:F30)</f>
        <v>618</v>
      </c>
      <c r="G31" s="1085">
        <f>IF(ISNUMBER(F31/B31),F31/B31," - ")</f>
        <v>206</v>
      </c>
      <c r="H31" s="1084">
        <f>SUBTOTAL(9,H8:H30)</f>
        <v>196</v>
      </c>
      <c r="I31" s="1085">
        <f>IF(ISNUMBER(H31/B31),H31/B31," - ")</f>
        <v>65.333333333333329</v>
      </c>
    </row>
    <row r="34" spans="1:1">
      <c r="A34" s="439" t="str">
        <f>Criterios!A4</f>
        <v>Fecha Informe: 05 may. 2023</v>
      </c>
    </row>
    <row r="39" spans="1:1">
      <c r="A39" s="462"/>
    </row>
  </sheetData>
  <sheetProtection algorithmName="SHA-512" hashValue="DBdV8MZCdTjOKiS4DTChZLna+I0IMdpEAC1bR2b7B+Ea4PjsPDTWMTvO1Y8xIsMLohF4fN6FfKGkTiAo6i+/Xw==" saltValue="2fe9GYmw1DJsaiPQwBoL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POSADAS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285</v>
      </c>
      <c r="C12" s="489">
        <f>IF(ISNUMBER(Datos!Q12),Datos!Q12," - ")</f>
        <v>541</v>
      </c>
      <c r="D12" s="456">
        <f>IF(ISNUMBER(Datos!R12),Datos!R12," - ")</f>
        <v>2707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288</v>
      </c>
      <c r="C14" s="1150">
        <f>SUBTOTAL(9,C9:C13)</f>
        <v>552</v>
      </c>
      <c r="D14" s="1148">
        <f>SUBTOTAL(9,D9:D13)</f>
        <v>2709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38</v>
      </c>
      <c r="D17" s="456">
        <f>IF(ISNUMBER(Datos!R17),Datos!R17," - ")</f>
        <v>73</v>
      </c>
    </row>
    <row r="18" spans="1:4">
      <c r="A18" s="450" t="str">
        <f>Datos!A18</f>
        <v>Jdos. Violencia contra la mujer</v>
      </c>
      <c r="B18" s="488">
        <f>IF(ISNUMBER(Datos!P18),Datos!P18," - ")</f>
        <v>20</v>
      </c>
      <c r="C18" s="489">
        <f>IF(ISNUMBER(Datos!Q18),Datos!Q18," - ")</f>
        <v>29</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v>
      </c>
      <c r="C23" s="1150">
        <f>SUBTOTAL(9,C16:C22)</f>
        <v>67</v>
      </c>
      <c r="D23" s="1148">
        <f>SUBTOTAL(9,D16:D22)</f>
        <v>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335</v>
      </c>
      <c r="C31" s="1089">
        <f>SUBTOTAL(9,C8:C30)</f>
        <v>619</v>
      </c>
      <c r="D31" s="1090">
        <f>SUBTOTAL(9,D8:D30)</f>
        <v>2797</v>
      </c>
    </row>
    <row r="32" spans="1:4" ht="7.5" customHeight="1"/>
    <row r="33" spans="1:1" ht="6" customHeight="1"/>
    <row r="34" spans="1:1">
      <c r="A34" s="439" t="str">
        <f>Criterios!A4</f>
        <v>Fecha Informe: 05 may. 2023</v>
      </c>
    </row>
    <row r="39" spans="1:1">
      <c r="A39" s="462"/>
    </row>
  </sheetData>
  <sheetProtection algorithmName="SHA-512" hashValue="bNzIgNZzUcHL4S9J5SKdDHFWw3b8LY3PdfBxaYv6ypFqxJnJcteNDrbxyhcBEqFTainVdjrfay8dsvvm/gbviQ==" saltValue="XRanNWYWFhQ9AO91huhA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POSADAS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-0.82352941176470584</v>
      </c>
      <c r="C10" s="515">
        <f>IF(ISNUMBER((Datos!J10-Datos!T10)/Datos!T10),(Datos!J10-Datos!T10)/Datos!T10," - ")</f>
        <v>-0.66666666666666663</v>
      </c>
      <c r="D10" s="515">
        <f>IF(ISNUMBER((Datos!K10-Datos!U10)/Datos!U10),(Datos!K10-Datos!U10)/Datos!U10," - ")</f>
        <v>-0.7</v>
      </c>
      <c r="E10" s="515">
        <f>IF(ISNUMBER((Datos!L10-Datos!V10)/Datos!V10),(Datos!L10-Datos!V10)/Datos!V10," - ")</f>
        <v>-0.84615384615384615</v>
      </c>
      <c r="F10" s="515">
        <f>IF(ISNUMBER((Datos!M10-Datos!W10)/Datos!W10),(Datos!M10-Datos!W10)/Datos!W10," - ")</f>
        <v>-0.625</v>
      </c>
      <c r="G10" s="516">
        <f>IF(ISNUMBER((Datos!N10-Datos!X10)/Datos!X10),(Datos!N10-Datos!X10)/Datos!X10," - ")</f>
        <v>-1</v>
      </c>
      <c r="H10" s="514">
        <f>IF(ISNUMBER(((NºAsuntos!G10/NºAsuntos!E10)-Datos!BD10)/Datos!BD10),((NºAsuntos!G10/NºAsuntos!E10)-Datos!BD10)/Datos!BD10," - ")</f>
        <v>-0.10000000000000003</v>
      </c>
      <c r="I10" s="515">
        <f>IF(ISNUMBER(((NºAsuntos!I10/NºAsuntos!G10)-Datos!BE10)/Datos!BE10),((NºAsuntos!I10/NºAsuntos!G10)-Datos!BE10)/Datos!BE10," - ")</f>
        <v>-0.48717948717948723</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-0.2753623188405796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-0.15426497277676951</v>
      </c>
      <c r="C12" s="515">
        <f>IF(ISNUMBER(
   IF(J_V="SI",(Datos!J12-Datos!T12)/Datos!T12,(Datos!J12+Datos!Z12-(Datos!T12+Datos!AH12))/(Datos!T12+Datos!AH12))
     ),IF(J_V="SI",(Datos!J12-Datos!T12)/Datos!T12,(Datos!J12+Datos!Z12-(Datos!T12+Datos!AH12))/(Datos!T12+Datos!AH12))," - ")</f>
        <v>0.10644677661169415</v>
      </c>
      <c r="D12" s="515">
        <f>IF(ISNUMBER(
   IF(J_V="SI",(Datos!K12-Datos!U12)/Datos!U12,(Datos!K12+Datos!AA12-(Datos!U12+Datos!AI12))/(Datos!U12+Datos!AI12))
     ),IF(J_V="SI",(Datos!K12-Datos!U12)/Datos!U12,(Datos!K12+Datos!AA12-(Datos!U12+Datos!AI12))/(Datos!U12+Datos!AI12))," - ")</f>
        <v>-6.0689655172413794E-2</v>
      </c>
      <c r="E12" s="515">
        <f>IF(ISNUMBER(
   IF(J_V="SI",(Datos!L12-Datos!V12)/Datos!V12,(Datos!L12+Datos!AB12-(Datos!V12+Datos!AJ12))/(Datos!V12+Datos!AJ12))
     ),IF(J_V="SI",(Datos!L12-Datos!V12)/Datos!V12,(Datos!L12+Datos!AB12-(Datos!V12+Datos!AJ12))/(Datos!V12+Datos!AJ12))," - ")</f>
        <v>-8.5893416927899688E-2</v>
      </c>
      <c r="F12" s="515">
        <f>IF(ISNUMBER((Datos!M12-Datos!W12)/Datos!W12),(Datos!M12-Datos!W12)/Datos!W12," - ")</f>
        <v>0.38666666666666666</v>
      </c>
      <c r="G12" s="516">
        <f>IF(ISNUMBER((Datos!N12-Datos!X12)/Datos!X12),(Datos!N12-Datos!X12)/Datos!X12," - ")</f>
        <v>0.40845070422535212</v>
      </c>
      <c r="H12" s="514">
        <f>IF(ISNUMBER(((NºAsuntos!G12/NºAsuntos!E12)-Datos!BD12)/Datos!BD12),((NºAsuntos!G12/NºAsuntos!E12)-Datos!BD12)/Datos!BD12," - ")</f>
        <v>-0.15105691056910567</v>
      </c>
      <c r="I12" s="515">
        <f>IF(ISNUMBER(((NºAsuntos!I12/NºAsuntos!G12)-Datos!BE12)/Datos!BE12),((NºAsuntos!I12/NºAsuntos!G12)-Datos!BE12)/Datos!BE12," - ")</f>
        <v>-2.6832198638366025E-2</v>
      </c>
      <c r="J12" s="521">
        <f>IF(ISNUMBER((('Resol  Asuntos'!D12/NºAsuntos!G12)-Datos!BF12)/Datos!BF12),(('Resol  Asuntos'!D12/NºAsuntos!G12)-Datos!BF12)/Datos!BF12," - ")</f>
        <v>3.9620000965164416E-2</v>
      </c>
      <c r="K12" s="522">
        <f>IF(ISNUMBER((((NºAsuntos!C12+NºAsuntos!E12)/NºAsuntos!G12)-Datos!BG12)/Datos!BG12),(((NºAsuntos!C12+NºAsuntos!E12)/NºAsuntos!G12)-Datos!BG12)/Datos!BG12," - ")</f>
        <v>-1.9823788546255577E-2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-0.16107784431137726</v>
      </c>
      <c r="C14" s="1152">
        <f>IF(ISNUMBER(
   IF(J_V="SI",(Datos!J14-Datos!T14)/Datos!T14,(Datos!J14+Datos!Z14-(Datos!T14+Datos!AH14))/(Datos!T14+Datos!AH14))
     ),IF(J_V="SI",(Datos!J14-Datos!T14)/Datos!T14,(Datos!J14+Datos!Z14-(Datos!T14+Datos!AH14))/(Datos!T14+Datos!AH14))," - ")</f>
        <v>9.9554234769687958E-2</v>
      </c>
      <c r="D14" s="1152">
        <f>IF(ISNUMBER(
   IF(J_V="SI",(Datos!K14-Datos!U14)/Datos!U14,(Datos!K14+Datos!AA14-(Datos!U14+Datos!AI14))/(Datos!U14+Datos!AI14))
     ),IF(J_V="SI",(Datos!K14-Datos!U14)/Datos!U14,(Datos!K14+Datos!AA14-(Datos!U14+Datos!AI14))/(Datos!U14+Datos!AI14))," - ")</f>
        <v>-6.9387755102040816E-2</v>
      </c>
      <c r="E14" s="1152">
        <f>IF(ISNUMBER(
   IF(J_V="SI",(Datos!L14-Datos!V14)/Datos!V14,(Datos!L14+Datos!AB14-(Datos!V14+Datos!AJ14))/(Datos!V14+Datos!AJ14))
     ),IF(J_V="SI",(Datos!L14-Datos!V14)/Datos!V14,(Datos!L14+Datos!AB14-(Datos!V14+Datos!AJ14))/(Datos!V14+Datos!AJ14))," - ")</f>
        <v>-9.2039800995024873E-2</v>
      </c>
      <c r="F14" s="1153">
        <f>IF(ISNUMBER((Datos!M14-Datos!W14)/Datos!W14),(Datos!M14-Datos!W14)/Datos!W14," - ")</f>
        <v>0.33544303797468356</v>
      </c>
      <c r="G14" s="1154">
        <f>IF(ISNUMBER((Datos!N14-Datos!X14)/Datos!X14),(Datos!N14-Datos!X14)/Datos!X14," - ")</f>
        <v>0.39534883720930231</v>
      </c>
      <c r="H14" s="1154">
        <f>IF(ISNUMBER(((NºAsuntos!G14/NºAsuntos!E14)-Datos!BD14)/Datos!BD14),((NºAsuntos!G14/NºAsuntos!E14)-Datos!BD14)/Datos!BD14," - ")</f>
        <v>-0.15364589078874785</v>
      </c>
      <c r="I14" s="1154">
        <f>IF(ISNUMBER(((NºAsuntos!I14/NºAsuntos!G14)-Datos!BE14)/Datos!BE14),((NºAsuntos!I14/NºAsuntos!G14)-Datos!BE14)/Datos!BE14," - ")</f>
        <v>-2.4341014227110158E-2</v>
      </c>
      <c r="J14" s="1154">
        <f>IF(ISNUMBER((('Resol  Asuntos'!D14/NºAsuntos!G14)-Datos!BF14)/Datos!BF14),(('Resol  Asuntos'!D14/NºAsuntos!G14)-Datos!BF14)/Datos!BF14," - ")</f>
        <v>2.5938715567198602E-2</v>
      </c>
      <c r="K14" s="1154">
        <f>IF(ISNUMBER((((NºAsuntos!C14+NºAsuntos!E14)/NºAsuntos!G14)-Datos!BG14)/Datos!BG14),(((NºAsuntos!C14+NºAsuntos!E14)/NºAsuntos!G14)-Datos!BG14)/Datos!BG14," - ")</f>
        <v>-1.8081107591856257E-2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-0.27311370882040381</v>
      </c>
      <c r="C17" s="515">
        <f>IF(ISNUMBER(
   IF(D_I="SI",(Datos!J17-Datos!T17)/Datos!T17,(Datos!J17+Datos!AD17-(Datos!T17+Datos!AL17))/(Datos!T17+Datos!AL17))
     ),IF(D_I="SI",(Datos!J17-Datos!T17)/Datos!T17,(Datos!J17+Datos!AD17-(Datos!T17+Datos!AL17))/(Datos!T17+Datos!AL17))," - ")</f>
        <v>-0.24861878453038674</v>
      </c>
      <c r="D17" s="515">
        <f>IF(ISNUMBER(
   IF(D_I="SI",(Datos!K17-Datos!U17)/Datos!U17,(Datos!K17+Datos!AE17-(Datos!U17+Datos!AM17))/(Datos!U17+Datos!AM17))
     ),IF(D_I="SI",(Datos!K17-Datos!U17)/Datos!U17,(Datos!K17+Datos!AE17-(Datos!U17+Datos!AM17))/(Datos!U17+Datos!AM17))," - ")</f>
        <v>-0.33169533169533172</v>
      </c>
      <c r="E17" s="515">
        <f>IF(ISNUMBER(
   IF(D_I="SI",(Datos!L17-Datos!V17)/Datos!V17,(Datos!L17+Datos!AF17-(Datos!V17+Datos!AN17))/(Datos!V17+Datos!AN17))
     ),IF(D_I="SI",(Datos!L17-Datos!V17)/Datos!V17,(Datos!L17+Datos!AF17-(Datos!V17+Datos!AN17))/(Datos!V17+Datos!AN17))," - ")</f>
        <v>-0.18497109826589594</v>
      </c>
      <c r="F17" s="515">
        <f>IF(ISNUMBER((Datos!M17-Datos!W17)/Datos!W17),(Datos!M17-Datos!W17)/Datos!W17," - ")</f>
        <v>-0.34782608695652173</v>
      </c>
      <c r="G17" s="516">
        <f>IF(ISNUMBER((Datos!N17-Datos!X17)/Datos!X17),(Datos!N17-Datos!X17)/Datos!X17," - ")</f>
        <v>-0.27027027027027029</v>
      </c>
      <c r="H17" s="514">
        <f>IF(ISNUMBER(((NºAsuntos!G17/NºAsuntos!E17)-Datos!BD17)/Datos!BD17),((NºAsuntos!G17/NºAsuntos!E17)-Datos!BD17)/Datos!BD17," - ")</f>
        <v>-0.11056511056511062</v>
      </c>
      <c r="I17" s="515">
        <f>IF(ISNUMBER(((NºAsuntos!I17/NºAsuntos!G17)-Datos!BE17)/Datos!BE17),((NºAsuntos!I17/NºAsuntos!G17)-Datos!BE17)/Datos!BE17," - ")</f>
        <v>0.21954692281536883</v>
      </c>
      <c r="J17" s="521">
        <f>IF(ISNUMBER((('Resol  Asuntos'!D17/NºAsuntos!G17)-Datos!BF17)/Datos!BF17),(('Resol  Asuntos'!D17/NºAsuntos!G17)-Datos!BF17)/Datos!BF17," - ")</f>
        <v>-2.4136828644501233E-2</v>
      </c>
      <c r="K17" s="522">
        <f>IF(ISNUMBER((((NºAsuntos!C17+NºAsuntos!E17)/NºAsuntos!G17)-Datos!BG17)/Datos!BG17),(((NºAsuntos!C17+NºAsuntos!E17)/NºAsuntos!G17)-Datos!BG17)/Datos!BG17," - ")</f>
        <v>0.10359477124183007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-0.29850746268656714</v>
      </c>
      <c r="C18" s="515">
        <f>IF(ISNUMBER(
   IF(D_I="SI",(Datos!J18-Datos!T18)/Datos!T18,(Datos!J18+Datos!AD18-(Datos!T18+Datos!AL18))/(Datos!T18+Datos!AL18))
     ),IF(D_I="SI",(Datos!J18-Datos!T18)/Datos!T18,(Datos!J18+Datos!AD18-(Datos!T18+Datos!AL18))/(Datos!T18+Datos!AL18))," - ")</f>
        <v>-3.2608695652173912E-2</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-0.63095238095238093</v>
      </c>
      <c r="F18" s="515">
        <f>IF(ISNUMBER((Datos!M18-Datos!W18)/Datos!W18),(Datos!M18-Datos!W18)/Datos!W18," - ")</f>
        <v>5.3636363636363633</v>
      </c>
      <c r="G18" s="516">
        <f>IF(ISNUMBER((Datos!N18-Datos!X18)/Datos!X18),(Datos!N18-Datos!X18)/Datos!X18," - ")</f>
        <v>-0.5</v>
      </c>
      <c r="H18" s="514">
        <f>IF(ISNUMBER(((NºAsuntos!G18/NºAsuntos!E18)-Datos!BD18)/Datos!BD18),((NºAsuntos!G18/NºAsuntos!E18)-Datos!BD18)/Datos!BD18," - ")</f>
        <v>0.44719101123595512</v>
      </c>
      <c r="I18" s="515">
        <f>IF(ISNUMBER(((NºAsuntos!I18/NºAsuntos!G18)-Datos!BE18)/Datos!BE18),((NºAsuntos!I18/NºAsuntos!G18)-Datos!BE18)/Datos!BE18," - ")</f>
        <v>-0.73639455782312924</v>
      </c>
      <c r="J18" s="521">
        <f>IF(ISNUMBER((('Resol  Asuntos'!D18/NºAsuntos!G18)-Datos!BF18)/Datos!BF18),(('Resol  Asuntos'!D18/NºAsuntos!G18)-Datos!BF18)/Datos!BF18," - ")</f>
        <v>3.5454545454545454</v>
      </c>
      <c r="K18" s="522">
        <f>IF(ISNUMBER((((NºAsuntos!C18+NºAsuntos!E18)/NºAsuntos!G18)-Datos!BG18)/Datos!BG18),(((NºAsuntos!C18+NºAsuntos!E18)/NºAsuntos!G18)-Datos!BG18)/Datos!BG18," - ")</f>
        <v>-0.3890386343216532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-0.27480158730158732</v>
      </c>
      <c r="C23" s="1152">
        <f>IF(ISNUMBER(
   IF(Criterios!B14="SI",(Datos!J23-Datos!T23)/Datos!T23,(Datos!J23+Datos!AD23-(Datos!T23+Datos!AL23))/(Datos!T23+Datos!AL23))
     ),IF(Criterios!B14="SI",(Datos!J23-Datos!T23)/Datos!T23,(Datos!J23+Datos!AD23-(Datos!T23+Datos!AL23))/(Datos!T23+Datos!AL23))," - ")</f>
        <v>-0.22426470588235295</v>
      </c>
      <c r="D23" s="1152">
        <f>IF(ISNUMBER(
   IF(Criterios!B14="SI",(Datos!K23-Datos!U23)/Datos!U23,(Datos!K23+Datos!AE23-(Datos!U23+Datos!AM23))/(Datos!U23+Datos!AM23))
     ),IF(Criterios!B14="SI",(Datos!K23-Datos!U23)/Datos!U23,(Datos!K23+Datos!AE23-(Datos!U23+Datos!AM23))/(Datos!U23+Datos!AM23))," - ")</f>
        <v>-0.26996625421822273</v>
      </c>
      <c r="E23" s="1152">
        <f>IF(ISNUMBER(
   IF(Criterios!B14="SI",(Datos!L23-Datos!V23)/Datos!V23,(Datos!L23+Datos!AF23-(Datos!V23+Datos!AN23))/(Datos!V23+Datos!AN23))
     ),IF(Criterios!B14="SI",(Datos!L23-Datos!V23)/Datos!V23,(Datos!L23+Datos!AF23-(Datos!V23+Datos!AN23))/(Datos!V23+Datos!AN23))," - ")</f>
        <v>-0.22444678609062171</v>
      </c>
      <c r="F23" s="1153">
        <f>IF(ISNUMBER((Datos!M23-Datos!W23)/Datos!W23),(Datos!M23-Datos!W23)/Datos!W23," - ")</f>
        <v>7.3825503355704702E-2</v>
      </c>
      <c r="G23" s="1154">
        <f>IF(ISNUMBER((Datos!N23-Datos!X23)/Datos!X23),(Datos!N23-Datos!X23)/Datos!X23," - ")</f>
        <v>-0.29175946547884185</v>
      </c>
      <c r="H23" s="1154">
        <f>IF(ISNUMBER(((NºAsuntos!G23/NºAsuntos!E23)-Datos!BD23)/Datos!BD23),((NºAsuntos!G23/NºAsuntos!E23)-Datos!BD23)/Datos!BD23," - ")</f>
        <v>-5.8913844300268102E-2</v>
      </c>
      <c r="I23" s="1154">
        <f>IF(ISNUMBER(((NºAsuntos!I23/NºAsuntos!G23)-Datos!BE23)/Datos!BE23),((NºAsuntos!I23/NºAsuntos!G23)-Datos!BE23)/Datos!BE23," - ")</f>
        <v>6.2352553413616868E-2</v>
      </c>
      <c r="J23" s="1154">
        <f>IF(ISNUMBER((('Resol  Asuntos'!D23/NºAsuntos!G23)-Datos!BF23)/Datos!BF23),(('Resol  Asuntos'!D23/NºAsuntos!G23)-Datos!BF23)/Datos!BF23," - ")</f>
        <v>0.47092584357969414</v>
      </c>
      <c r="K23" s="1154">
        <f>IF(ISNUMBER((((NºAsuntos!C23+NºAsuntos!E23)/NºAsuntos!G23)-Datos!BG23)/Datos!BG23),(((NºAsuntos!C23+NºAsuntos!E23)/NºAsuntos!G23)-Datos!BG23)/Datos!BG23," - ")</f>
        <v>2.4345822182575274E-2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-0.20388349514563106</v>
      </c>
      <c r="C31" s="1092">
        <f>IF(ISNUMBER(
   IF(J_V="SI",(Datos!J31-Datos!T31)/Datos!T31,(Datos!J31+Datos!Z31-(Datos!T31+Datos!AH31))/(Datos!T31+Datos!AH31))
     ),IF(J_V="SI",(Datos!J31-Datos!T31)/Datos!T31,(Datos!J31+Datos!Z31-(Datos!T31+Datos!AH31))/(Datos!T31+Datos!AH31))," - ")</f>
        <v>-7.7904633982538621E-2</v>
      </c>
      <c r="D31" s="1092">
        <f>IF(ISNUMBER(
   IF(J_V="SI",(Datos!K31-Datos!U31)/Datos!U31,(Datos!K31+Datos!AA31-(Datos!U31+Datos!AI31))/(Datos!U31+Datos!AI31))
     ),IF(J_V="SI",(Datos!K31-Datos!U31)/Datos!U31,(Datos!K31+Datos!AA31-(Datos!U31+Datos!AI31))/(Datos!U31+Datos!AI31))," - ")</f>
        <v>-0.17918719211822659</v>
      </c>
      <c r="E31" s="1092">
        <f>IF(ISNUMBER(
   IF(J_V="SI",(Datos!L31-Datos!V31)/Datos!V31,(Datos!L31+Datos!AB31-(Datos!V31+Datos!AJ31))/(Datos!V31+Datos!AJ31))
     ),IF(J_V="SI",(Datos!L31-Datos!V31)/Datos!V31,(Datos!L31+Datos!AB31-(Datos!V31+Datos!AJ31))/(Datos!V31+Datos!AJ31))," - ")</f>
        <v>-0.14118107156824403</v>
      </c>
      <c r="F31" s="1093">
        <f>IF(ISNUMBER((Datos!M31-Datos!W31)/Datos!W31),(Datos!M31-Datos!W31)/Datos!W31," - ")</f>
        <v>0.20846905537459284</v>
      </c>
      <c r="G31" s="1094">
        <f>IF(ISNUMBER((Datos!N31-Datos!X31)/Datos!X31),(Datos!N31-Datos!X31)/Datos!X31," - ")</f>
        <v>-6.9277108433734941E-2</v>
      </c>
      <c r="H31" s="1095">
        <f>IF(ISNUMBER((Tasas!B31-Datos!BD31)/Datos!BD31),(Tasas!B31-Datos!BD31)/Datos!BD31," - ")</f>
        <v>-0.10983956960235934</v>
      </c>
      <c r="I31" s="1096">
        <f>IF(ISNUMBER((Tasas!C31-Datos!BE31)/Datos!BE31),(Tasas!C31-Datos!BE31)/Datos!BE31," - ")</f>
        <v>4.6303030587525669E-2</v>
      </c>
      <c r="J31" s="1097">
        <f>IF(ISNUMBER((Tasas!D31-Datos!BF31)/Datos!BF31),(Tasas!D31-Datos!BF31)/Datos!BF31," - ")</f>
        <v>0.22159729121469557</v>
      </c>
      <c r="K31" s="1097">
        <f>IF(ISNUMBER((Tasas!E31-Datos!BG31)/Datos!BG31),(Tasas!E31-Datos!BG31)/Datos!BG31," - ")</f>
        <v>2.4755828986044261E-2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thHmyeJjrKOAyyjy+YH3NTZQKBJod3ye7JldtF/lrr2iEhE6na0e7JWRlxN/wkjxXHxRXnf6t19S3x3wWE1IQ==" saltValue="Y9Uci/jZ/3XGkCD8jt/B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POSADAS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0.66666666666666663</v>
      </c>
      <c r="D10" s="499">
        <f>IF(ISNUMBER('Resol  Asuntos'!D10/NºAsuntos!G10),'Resol  Asuntos'!D10/NºAsuntos!G10," - ")</f>
        <v>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0.92276422764227639</v>
      </c>
      <c r="C12" s="498">
        <f>IF(ISNUMBER(NºAsuntos!I12/NºAsuntos!G12),NºAsuntos!I12/NºAsuntos!G12," - ")</f>
        <v>2.1409691629955949</v>
      </c>
      <c r="D12" s="499">
        <f>IF(ISNUMBER('Resol  Asuntos'!D12/NºAsuntos!G12),'Resol  Asuntos'!D12/NºAsuntos!G12," - ")</f>
        <v>0.3054331864904552</v>
      </c>
      <c r="E12" s="500">
        <f>IF(ISNUMBER((NºAsuntos!C12+NºAsuntos!E12)/NºAsuntos!G12),(NºAsuntos!C12+NºAsuntos!E12)/NºAsuntos!G12," - ")</f>
        <v>3.1365638766519823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0.92432432432432432</v>
      </c>
      <c r="C14" s="1156">
        <f>IF(ISNUMBER(NºAsuntos!I14/NºAsuntos!G14),NºAsuntos!I14/NºAsuntos!G14," - ")</f>
        <v>2.134502923976608</v>
      </c>
      <c r="D14" s="1157">
        <f>IF(ISNUMBER('Resol  Asuntos'!D14/NºAsuntos!G14),'Resol  Asuntos'!D14/NºAsuntos!G14," - ")</f>
        <v>0.30847953216374269</v>
      </c>
      <c r="E14" s="1158">
        <f>IF(ISNUMBER((NºAsuntos!C14+NºAsuntos!E14)/NºAsuntos!G14),(NºAsuntos!C14+NºAsuntos!E14)/NºAsuntos!G14," - ")</f>
        <v>3.1301169590643276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1.2959558823529411</v>
      </c>
      <c r="D17" s="499">
        <f>IF(ISNUMBER('Resol  Asuntos'!D17/NºAsuntos!G17),'Resol  Asuntos'!D17/NºAsuntos!G17," - ")</f>
        <v>0.16544117647058823</v>
      </c>
      <c r="E17" s="500">
        <f>IF(ISNUMBER((NºAsuntos!C17+NºAsuntos!E17)/NºAsuntos!G17),(NºAsuntos!C17+NºAsuntos!E17)/NºAsuntos!G17," - ")</f>
        <v>2.2573529411764706</v>
      </c>
      <c r="G17" s="523"/>
    </row>
    <row r="18" spans="1:7">
      <c r="A18" s="450" t="str">
        <f>Datos!A18</f>
        <v>Jdos. Violencia contra la mujer</v>
      </c>
      <c r="B18" s="497">
        <f>IF(ISNUMBER(NºAsuntos!G18/NºAsuntos!E18),NºAsuntos!G18/NºAsuntos!E18," - ")</f>
        <v>1.1797752808988764</v>
      </c>
      <c r="C18" s="498">
        <f>IF(ISNUMBER(NºAsuntos!I18/NºAsuntos!G18),NºAsuntos!I18/NºAsuntos!G18," - ")</f>
        <v>0.29523809523809524</v>
      </c>
      <c r="D18" s="499">
        <f>IF(ISNUMBER('Resol  Asuntos'!D18/NºAsuntos!G18),'Resol  Asuntos'!D18/NºAsuntos!G18," - ")</f>
        <v>0.66666666666666663</v>
      </c>
      <c r="E18" s="500">
        <f>IF(ISNUMBER((NºAsuntos!C18+NºAsuntos!E18)/NºAsuntos!G18),(NºAsuntos!C18+NºAsuntos!E18)/NºAsuntos!G18," - ")</f>
        <v>1.2952380952380953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1.0252764612954186</v>
      </c>
      <c r="C23" s="1156">
        <f>IF(ISNUMBER(NºAsuntos!I23/NºAsuntos!G23),NºAsuntos!I23/NºAsuntos!G23," - ")</f>
        <v>1.1340523882896765</v>
      </c>
      <c r="D23" s="1159">
        <f>IF(ISNUMBER('Resol  Asuntos'!D23/NºAsuntos!G23),'Resol  Asuntos'!D23/NºAsuntos!G23," - ")</f>
        <v>0.24653312788906009</v>
      </c>
      <c r="E23" s="1158">
        <f>IF(ISNUMBER((NºAsuntos!C23+NºAsuntos!E23)/NºAsuntos!G23),(NºAsuntos!C23+NºAsuntos!E23)/NºAsuntos!G23," - ")</f>
        <v>2.1016949152542375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0.9708667152221413</v>
      </c>
      <c r="C31" s="1099">
        <f>IF(ISNUMBER(NºAsuntos!I31/NºAsuntos!G31),NºAsuntos!I31/NºAsuntos!G31," - ")</f>
        <v>1.6474118529632409</v>
      </c>
      <c r="D31" s="1100">
        <f>IF(ISNUMBER('Resol  Asuntos'!D31/NºAsuntos!G31),'Resol  Asuntos'!D31/NºAsuntos!G31," - ")</f>
        <v>0.27831957989497375</v>
      </c>
      <c r="E31" s="1101">
        <f>IF(ISNUMBER((NºAsuntos!C31+NºAsuntos!E31)/NºAsuntos!G31),(NºAsuntos!C31+NºAsuntos!E31)/NºAsuntos!G31," - ")</f>
        <v>2.6294073518379597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RhpYlfrLiDx39oCjB+2EMFO5PZWMwYFGO0iiYEzqSEvXRE0WaJQaX/2pbmTIQSiUHtgpcCOx/QEUL23iu6tBg==" saltValue="TgYn3Fj0PtWilZ7Z/aBF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POSADAS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11</v>
      </c>
      <c r="Y10" s="374">
        <f t="shared" ref="Y10:Y13" si="0">SUM(W10:X10)</f>
        <v>14</v>
      </c>
      <c r="Z10" s="375" t="str">
        <f>IF(ISNUMBER(Datos!CC10),Datos!CC10," - ")</f>
        <v xml:space="preserve"> - </v>
      </c>
      <c r="AA10" s="372">
        <f>IF(ISNUMBER(Datos!L10),Datos!L10,"-")</f>
        <v>2</v>
      </c>
      <c r="AB10" s="374">
        <f>IF(ISNUMBER(Datos!R10),Datos!R10," - ")</f>
        <v>2</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2</v>
      </c>
      <c r="AN10" s="267">
        <f>IF(ISNUMBER('Resol  Asuntos'!D10/NºAsuntos!G10),'Resol  Asuntos'!D10/NºAsuntos!G10," - ")</f>
        <v>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541</v>
      </c>
      <c r="Y12" s="374">
        <f t="shared" si="0"/>
        <v>541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208</v>
      </c>
      <c r="AJ12" s="243" t="str">
        <f>IF(ISNUMBER(Datos!BW12),Datos!BW12," - ")</f>
        <v xml:space="preserve"> - </v>
      </c>
      <c r="AK12" s="242" t="str">
        <f>IF(ISNUMBER(Datos!BX12),Datos!BX12," - ")</f>
        <v xml:space="preserve"> - </v>
      </c>
      <c r="AL12" s="266">
        <f>IF(ISNUMBER(NºAsuntos!G12/NºAsuntos!E12),NºAsuntos!G12/NºAsuntos!E12," - ")</f>
        <v>0.92276422764227639</v>
      </c>
      <c r="AM12" s="284">
        <f>IF(ISNUMBER(((NºAsuntos!I12/NºAsuntos!G12)*11)/factor_trimestre),((NºAsuntos!I12/NºAsuntos!G12)*11)/factor_trimestre," - ")</f>
        <v>6.4229074889867848</v>
      </c>
      <c r="AN12" s="267">
        <f>IF(ISNUMBER('Resol  Asuntos'!D12/NºAsuntos!G12),'Resol  Asuntos'!D12/NºAsuntos!G12," - ")</f>
        <v>0.3054331864904552</v>
      </c>
      <c r="AO12" s="268">
        <f>IF(ISNUMBER((NºAsuntos!C12+NºAsuntos!E12)/NºAsuntos!G12),(NºAsuntos!C12+NºAsuntos!E12)/NºAsuntos!G12," - ")</f>
        <v>3.1365638766519823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288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552</v>
      </c>
      <c r="Y14" s="1165">
        <f t="shared" si="6"/>
        <v>555</v>
      </c>
      <c r="Z14" s="1165">
        <f t="shared" si="6"/>
        <v>0</v>
      </c>
      <c r="AA14" s="1165">
        <f t="shared" si="6"/>
        <v>2</v>
      </c>
      <c r="AB14" s="1165">
        <f t="shared" si="6"/>
        <v>2709</v>
      </c>
      <c r="AC14" s="1165">
        <f t="shared" si="6"/>
        <v>4</v>
      </c>
      <c r="AD14" s="1165">
        <f t="shared" si="6"/>
        <v>0</v>
      </c>
      <c r="AE14" s="1169">
        <f t="shared" si="6"/>
        <v>0</v>
      </c>
      <c r="AF14" s="1162">
        <f t="shared" si="6"/>
        <v>0</v>
      </c>
      <c r="AG14" s="1170">
        <f t="shared" si="6"/>
        <v>0</v>
      </c>
      <c r="AH14" s="1167">
        <f t="shared" si="6"/>
        <v>0</v>
      </c>
      <c r="AI14" s="1162">
        <f t="shared" si="6"/>
        <v>211</v>
      </c>
      <c r="AJ14" s="1164">
        <f t="shared" si="6"/>
        <v>0</v>
      </c>
      <c r="AK14" s="1167">
        <f>SUBTOTAL(9,AK9:AK13)</f>
        <v>0</v>
      </c>
      <c r="AL14" s="1171">
        <f>IF(ISNUMBER(NºAsuntos!G14/NºAsuntos!E14),NºAsuntos!G14/NºAsuntos!E14," - ")</f>
        <v>0.92432432432432432</v>
      </c>
      <c r="AM14" s="1171">
        <f>IF(ISNUMBER(((NºAsuntos!I14/NºAsuntos!G14)*11)/factor_trimestre),((NºAsuntos!I14/NºAsuntos!G14)*11)/factor_trimestre," - ")</f>
        <v>6.4035087719298245</v>
      </c>
      <c r="AN14" s="1172">
        <f>IF(ISNUMBER('Resol  Asuntos'!D14/NºAsuntos!G14),'Resol  Asuntos'!D14/NºAsuntos!G14," - ")</f>
        <v>0.30847953216374269</v>
      </c>
      <c r="AO14" s="1173">
        <f>IF(ISNUMBER((NºAsuntos!C14+NºAsuntos!E14)/NºAsuntos!G14),(NºAsuntos!C14+NºAsuntos!E14)/NºAsuntos!G14," - ")</f>
        <v>3.1301169590643276</v>
      </c>
      <c r="AP14" s="1174" t="str">
        <f t="shared" si="2"/>
        <v xml:space="preserve"> - </v>
      </c>
      <c r="AQ14" s="1174">
        <f>IF(ISNUMBER((H14-W14+K14)/(F14)),(H14-W14+K14)/(F14)," - ")</f>
        <v>-1</v>
      </c>
      <c r="AR14" s="1175">
        <f>IF(ISNUMBER((Datos!P14-Datos!Q14)/(Datos!R14-Datos!P14+Datos!Q14)),(Datos!P14-Datos!Q14)/(Datos!R14-Datos!P14+Datos!Q14)," - ")</f>
        <v>-8.879919273461151E-2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705</v>
      </c>
      <c r="G17" s="373">
        <f>IF(ISNUMBER(IF(D_I="SI",Datos!I17,Datos!I17+Datos!AC17)),IF(D_I="SI",Datos!I17,Datos!I17+Datos!AC17)," - ")</f>
        <v>684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544</v>
      </c>
      <c r="X17" s="240">
        <f>IF(ISNUMBER(Datos!Q17),Datos!Q17," - ")</f>
        <v>38</v>
      </c>
      <c r="Y17" s="374">
        <f t="shared" ref="Y17:Y22" si="9">SUM(W17:X17)</f>
        <v>582</v>
      </c>
      <c r="Z17" s="375" t="str">
        <f>IF(ISNUMBER(Datos!CC17),Datos!CC17," - ")</f>
        <v xml:space="preserve"> - </v>
      </c>
      <c r="AA17" s="372">
        <f>IF(ISNUMBER(IF(D_I="SI",Datos!L17,Datos!L17+Datos!AF17)),IF(D_I="SI",Datos!L17,Datos!L17+Datos!AF17)," - ")</f>
        <v>705</v>
      </c>
      <c r="AB17" s="374">
        <f>IF(ISNUMBER(Datos!R17),Datos!R17," - ")</f>
        <v>73</v>
      </c>
      <c r="AC17" s="374">
        <f t="shared" si="8"/>
        <v>778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3.8878676470588234</v>
      </c>
      <c r="AN17" s="267">
        <f>IF(ISNUMBER('Resol  Asuntos'!D17/NºAsuntos!G17),'Resol  Asuntos'!D17/NºAsuntos!G17," - ")</f>
        <v>0.16544117647058823</v>
      </c>
      <c r="AO17" s="268">
        <f>IF(ISNUMBER((NºAsuntos!C17+NºAsuntos!E17)/NºAsuntos!G17),(NºAsuntos!C17+NºAsuntos!E17)/NºAsuntos!G17," - ")</f>
        <v>2.2573529411764706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29</v>
      </c>
      <c r="Y18" s="374">
        <f t="shared" si="9"/>
        <v>134</v>
      </c>
      <c r="Z18" s="375" t="str">
        <f>IF(ISNUMBER(Datos!CC18),Datos!CC18," - ")</f>
        <v xml:space="preserve"> - </v>
      </c>
      <c r="AA18" s="372">
        <f>IF(ISNUMBER(Datos!L18),Datos!L18,"-")</f>
        <v>31</v>
      </c>
      <c r="AB18" s="374">
        <f>IF(ISNUMBER(Datos!R18),Datos!R18," - ")</f>
        <v>15</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70</v>
      </c>
      <c r="AJ18" s="245" t="str">
        <f>IF(ISNUMBER(Datos!BW18),Datos!BW18," - ")</f>
        <v xml:space="preserve"> - </v>
      </c>
      <c r="AK18" s="246" t="str">
        <f>IF(ISNUMBER(Datos!BX18),Datos!BX18," - ")</f>
        <v xml:space="preserve"> - </v>
      </c>
      <c r="AL18" s="266">
        <f>IF(ISNUMBER(NºAsuntos!G18/NºAsuntos!E18),NºAsuntos!G18/NºAsuntos!E18," - ")</f>
        <v>1.1797752808988764</v>
      </c>
      <c r="AM18" s="284">
        <f>IF(ISNUMBER(((NºAsuntos!I18/NºAsuntos!G18)*11)/factor_trimestre),((NºAsuntos!I18/NºAsuntos!G18)*11)/factor_trimestre," - ")</f>
        <v>0.88571428571428579</v>
      </c>
      <c r="AN18" s="267">
        <f>IF(ISNUMBER('Resol  Asuntos'!D18/NºAsuntos!G18),'Resol  Asuntos'!D18/NºAsuntos!G18," - ")</f>
        <v>0.66666666666666663</v>
      </c>
      <c r="AO18" s="268">
        <f>IF(ISNUMBER((NºAsuntos!C18+NºAsuntos!E18)/NºAsuntos!G18),(NºAsuntos!C18+NºAsuntos!E18)/NºAsuntos!G18," - ")</f>
        <v>1.2952380952380953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705</v>
      </c>
      <c r="G23" s="1163">
        <f>SUBTOTAL(9,G16:G22)</f>
        <v>731</v>
      </c>
      <c r="H23" s="1162">
        <f t="shared" ref="H23:O23" si="13">SUBTOTAL(9,H15:H22)</f>
        <v>0</v>
      </c>
      <c r="I23" s="1164">
        <f t="shared" si="13"/>
        <v>0</v>
      </c>
      <c r="J23" s="1164">
        <f t="shared" si="13"/>
        <v>0</v>
      </c>
      <c r="K23" s="1164">
        <f t="shared" si="13"/>
        <v>0</v>
      </c>
      <c r="L23" s="1164">
        <f t="shared" si="13"/>
        <v>47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649</v>
      </c>
      <c r="X23" s="1164">
        <f t="shared" si="14"/>
        <v>67</v>
      </c>
      <c r="Y23" s="1165">
        <f t="shared" si="14"/>
        <v>716</v>
      </c>
      <c r="Z23" s="1165">
        <f t="shared" si="14"/>
        <v>0</v>
      </c>
      <c r="AA23" s="1165">
        <f t="shared" si="14"/>
        <v>736</v>
      </c>
      <c r="AB23" s="1165">
        <f t="shared" si="14"/>
        <v>88</v>
      </c>
      <c r="AC23" s="1165">
        <f t="shared" si="14"/>
        <v>824</v>
      </c>
      <c r="AD23" s="1165">
        <f t="shared" si="14"/>
        <v>0</v>
      </c>
      <c r="AE23" s="1169">
        <f t="shared" si="14"/>
        <v>0</v>
      </c>
      <c r="AF23" s="1162">
        <f t="shared" si="14"/>
        <v>0</v>
      </c>
      <c r="AG23" s="1170">
        <f t="shared" si="14"/>
        <v>0</v>
      </c>
      <c r="AH23" s="1167">
        <f t="shared" si="14"/>
        <v>0</v>
      </c>
      <c r="AI23" s="1162">
        <f t="shared" si="14"/>
        <v>160</v>
      </c>
      <c r="AJ23" s="1164">
        <f t="shared" si="14"/>
        <v>0</v>
      </c>
      <c r="AK23" s="1167">
        <f t="shared" si="14"/>
        <v>0</v>
      </c>
      <c r="AL23" s="1171">
        <f>IF(ISNUMBER(NºAsuntos!G23/NºAsuntos!E23),NºAsuntos!G23/NºAsuntos!E23," - ")</f>
        <v>1.0252764612954186</v>
      </c>
      <c r="AM23" s="1171">
        <f>IF(ISNUMBER(((NºAsuntos!I23/NºAsuntos!G23)*11)/factor_trimestre),((NºAsuntos!I23/NºAsuntos!G23)*11)/factor_trimestre," - ")</f>
        <v>3.4021571648690294</v>
      </c>
      <c r="AN23" s="1172">
        <f>IF(ISNUMBER('Resol  Asuntos'!D23/NºAsuntos!G23),'Resol  Asuntos'!D23/NºAsuntos!G23," - ")</f>
        <v>0.24653312788906009</v>
      </c>
      <c r="AO23" s="1173">
        <f>IF(ISNUMBER((NºAsuntos!C23+NºAsuntos!E23)/NºAsuntos!G23),(NºAsuntos!C23+NºAsuntos!E23)/NºAsuntos!G23," - ")</f>
        <v>2.1016949152542375</v>
      </c>
      <c r="AP23" s="1174" t="str">
        <f t="shared" si="2"/>
        <v xml:space="preserve"> - </v>
      </c>
      <c r="AQ23" s="1174">
        <f>IF(ISNUMBER((H23-W23+K23)/(F23)),(H23-W23+K23)/(F23)," - ")</f>
        <v>-0.92056737588652482</v>
      </c>
      <c r="AR23" s="1175">
        <f>IF(ISNUMBER((Datos!P23-Datos!Q23)/(Datos!R23-Datos!P23+Datos!Q23)),(Datos!P23-Datos!Q23)/(Datos!R23-Datos!P23+Datos!Q23)," - ")</f>
        <v>-0.18518518518518517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708</v>
      </c>
      <c r="G31" s="1118">
        <f t="shared" si="20"/>
        <v>734</v>
      </c>
      <c r="H31" s="1117">
        <f t="shared" si="20"/>
        <v>0</v>
      </c>
      <c r="I31" s="1119">
        <f t="shared" si="20"/>
        <v>0</v>
      </c>
      <c r="J31" s="1119">
        <f t="shared" si="20"/>
        <v>0</v>
      </c>
      <c r="K31" s="1180">
        <f t="shared" si="20"/>
        <v>0</v>
      </c>
      <c r="L31" s="1119">
        <f t="shared" si="20"/>
        <v>335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652</v>
      </c>
      <c r="X31" s="1118">
        <f t="shared" si="21"/>
        <v>619</v>
      </c>
      <c r="Y31" s="1125">
        <f t="shared" si="21"/>
        <v>1271</v>
      </c>
      <c r="Z31" s="1125">
        <f t="shared" si="21"/>
        <v>0</v>
      </c>
      <c r="AA31" s="1125">
        <f t="shared" si="21"/>
        <v>738</v>
      </c>
      <c r="AB31" s="1125">
        <f t="shared" si="21"/>
        <v>2797</v>
      </c>
      <c r="AC31" s="1125">
        <f t="shared" si="21"/>
        <v>828</v>
      </c>
      <c r="AD31" s="1125">
        <f t="shared" si="21"/>
        <v>0</v>
      </c>
      <c r="AE31" s="1127">
        <f t="shared" si="21"/>
        <v>0</v>
      </c>
      <c r="AF31" s="1128">
        <f t="shared" si="21"/>
        <v>0</v>
      </c>
      <c r="AG31" s="1129">
        <f t="shared" si="21"/>
        <v>0</v>
      </c>
      <c r="AH31" s="1127">
        <f t="shared" si="21"/>
        <v>0</v>
      </c>
      <c r="AI31" s="1117">
        <f t="shared" si="21"/>
        <v>371</v>
      </c>
      <c r="AJ31" s="1117">
        <f t="shared" si="21"/>
        <v>0</v>
      </c>
      <c r="AK31" s="1127">
        <f t="shared" si="21"/>
        <v>0</v>
      </c>
      <c r="AL31" s="1183">
        <f>IF(ISNUMBER(NºAsuntos!G31/NºAsuntos!E31),NºAsuntos!G31/NºAsuntos!E31," - ")</f>
        <v>0.9708667152221413</v>
      </c>
      <c r="AM31" s="1184">
        <f>IF(ISNUMBER(((NºAsuntos!I31/NºAsuntos!G31)*11)/factor_trimestre),((NºAsuntos!I31/NºAsuntos!G31)*11)/factor_trimestre," - ")</f>
        <v>4.9422355588897231</v>
      </c>
      <c r="AN31" s="1184">
        <f>IF(ISNUMBER('Resol  Asuntos'!D31/NºAsuntos!G31),'Resol  Asuntos'!D31/NºAsuntos!G31," - ")</f>
        <v>0.27831957989497375</v>
      </c>
      <c r="AO31" s="1185">
        <f>IF(ISNUMBER((NºAsuntos!C31+NºAsuntos!E31)/NºAsuntos!G31),(NºAsuntos!C31+NºAsuntos!E31)/NºAsuntos!G31," - ")</f>
        <v>2.6294073518379597</v>
      </c>
      <c r="AP31" s="1186" t="str">
        <f t="shared" si="2"/>
        <v xml:space="preserve"> - </v>
      </c>
      <c r="AQ31" s="1187">
        <f>IF(OR(ISNUMBER(FIND("01",Criterios!A8,1)),ISNUMBER(FIND("02",Criterios!A8,1)),ISNUMBER(FIND("03",Criterios!A8,1)),ISNUMBER(FIND("04",Criterios!A8,1))),(I31-W31+K31)/(F31-K31),(H31-W31+K31)/(F31-K31))</f>
        <v>-0.92090395480225984</v>
      </c>
      <c r="AR31" s="1188">
        <f>IF(ISNUMBER((Datos!P31-Datos!Q31)/(Datos!R31-Datos!P31+Datos!Q31)),(Datos!P31-Datos!Q31)/(Datos!R31-Datos!P31+Datos!Q31)," - ")</f>
        <v>-9.2177864329763062E-2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363.28831525387653</v>
      </c>
      <c r="G33" s="277">
        <f>IF(ISNUMBER(STDEV(G8:G30)),STDEV(G8:G30),"-")</f>
        <v>340.73044785466135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284.38923695392918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90.690604333005268</v>
      </c>
      <c r="AJ33" s="276">
        <f t="shared" si="25"/>
        <v>0</v>
      </c>
      <c r="AK33" s="278">
        <f t="shared" si="25"/>
        <v>0</v>
      </c>
      <c r="AL33" s="273">
        <f t="shared" si="25"/>
        <v>0.22083496377726991</v>
      </c>
      <c r="AM33" s="274">
        <f t="shared" si="25"/>
        <v>2.2605376068163077</v>
      </c>
      <c r="AN33" s="274">
        <f t="shared" si="25"/>
        <v>0.32022969933101608</v>
      </c>
      <c r="AO33" s="275">
        <f t="shared" si="25"/>
        <v>0.75275732722302269</v>
      </c>
      <c r="AP33" s="317" t="str">
        <f t="shared" si="25"/>
        <v>-</v>
      </c>
      <c r="AQ33" s="318">
        <f t="shared" si="25"/>
        <v>5.6167347158080375E-2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MBOkUBC1LET0FL0REjsdRaHAAwS8r7WGcJ+5SydcOqx5ory7uuZrCG2q8S+Xmdpb+ZXLbArXJbVngUQsy0TyQ==" saltValue="zdGm4R78KdTmpYMOlycx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POSADAS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-0.82352941176470584</v>
      </c>
      <c r="E10" s="393">
        <f>IF(ISNUMBER((Datos!J10-Datos!T10)/Datos!T10),(Datos!J10-Datos!T10)/Datos!T10," - ")</f>
        <v>-0.66666666666666663</v>
      </c>
      <c r="F10" s="393">
        <f>IF(ISNUMBER((Datos!K10-Datos!U10)/Datos!U10),(Datos!K10-Datos!U10)/Datos!U10," - ")</f>
        <v>-0.7</v>
      </c>
      <c r="G10" s="394">
        <f>IF(ISNUMBER((Datos!L10-Datos!V10)/Datos!V10),(Datos!L10-Datos!V10)/Datos!V10," - ")</f>
        <v>-0.84615384615384615</v>
      </c>
      <c r="H10" s="244">
        <f>IF(ISNUMBER((Datos!M10-Datos!W10)/Datos!W10),(Datos!M10-Datos!W10)/Datos!W10," - ")</f>
        <v>-0.625</v>
      </c>
      <c r="I10" s="395">
        <f>IF(ISNUMBER((Tasas!C10-Datos!BE10)/Datos!BE10),(Tasas!C10-Datos!BE10)/Datos!BE10," - ")</f>
        <v>-0.48717948717948723</v>
      </c>
      <c r="J10" s="394">
        <f>IF(ISNUMBER((Tasas!D10-Datos!BF10)/Datos!BF10),(Tasas!D10-Datos!BF10)/Datos!BF10," - ")</f>
        <v>0.24999999999999994</v>
      </c>
      <c r="K10" s="396">
        <f>IF(ISNUMBER((Tasas!E10-Datos!BG10)/Datos!BG10),(Tasas!E10-Datos!BG10)/Datos!BG10," - ")</f>
        <v>-0.2753623188405796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0.38666666666666666</v>
      </c>
      <c r="I12" s="395">
        <f>IF(ISNUMBER((Tasas!C12-Datos!BE12)/Datos!BE12),(Tasas!C12-Datos!BE12)/Datos!BE12," - ")</f>
        <v>-2.6832198638366025E-2</v>
      </c>
      <c r="J12" s="394">
        <f>IF(ISNUMBER((Tasas!D12-Datos!BF12)/Datos!BF12),(Tasas!D12-Datos!BF12)/Datos!BF12," - ")</f>
        <v>3.9620000965164416E-2</v>
      </c>
      <c r="K12" s="396">
        <f>IF(ISNUMBER((Tasas!E12-Datos!BG12)/Datos!BG12),(Tasas!E12-Datos!BG12)/Datos!BG12," - ")</f>
        <v>-1.9823788546255577E-2</v>
      </c>
      <c r="M12" t="e">
        <f>IF(Monitorios="SI",Datos!CE12,0)</f>
        <v>#REF!</v>
      </c>
      <c r="N12" t="e">
        <f>IF(Monitorios="SI",Datos!CF12,0)</f>
        <v>#REF!</v>
      </c>
      <c r="O12" t="e">
        <f>IF(Monitorios="SI",Datos!CG12,0)</f>
        <v>#REF!</v>
      </c>
      <c r="P12" t="e">
        <f>IF(Monitorios="SI",Datos!CH12,0)</f>
        <v>#REF!</v>
      </c>
      <c r="Q12">
        <f>IF(J_V="SI",0,Datos!AG12)</f>
        <v>75</v>
      </c>
      <c r="R12">
        <f>IF(J_V="SI",0,Datos!AH12)</f>
        <v>77</v>
      </c>
      <c r="S12">
        <f>IF(J_V="SI",0,Datos!AI12)</f>
        <v>77</v>
      </c>
      <c r="T12">
        <f>IF(J_V="SI",0,Datos!AJ12)</f>
        <v>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0.33544303797468356</v>
      </c>
      <c r="I14" s="402">
        <f>IF(ISNUMBER((Tasas!C14-Datos!BE14)/Datos!BE14),(Tasas!C14-Datos!BE14)/Datos!BE14," - ")</f>
        <v>-2.4341014227110158E-2</v>
      </c>
      <c r="J14" s="400">
        <f>IF(ISNUMBER((Tasas!D14-Datos!BF14)/Datos!BF14),(Tasas!D14-Datos!BF14)/Datos!BF14," - ")</f>
        <v>2.5938715567198602E-2</v>
      </c>
      <c r="K14" s="403">
        <f>IF(ISNUMBER((Tasas!E14-Datos!BG14)/Datos!BG14),(Tasas!E14-Datos!BG14)/Datos!BG14," - ")</f>
        <v>-1.8081107591856257E-2</v>
      </c>
      <c r="M14" t="e">
        <f>IF(Monitorios="SI",Datos!CE14,0)</f>
        <v>#REF!</v>
      </c>
      <c r="N14" t="e">
        <f>IF(Monitorios="SI",Datos!CF14,0)</f>
        <v>#REF!</v>
      </c>
      <c r="O14" t="e">
        <f>IF(Monitorios="SI",Datos!CG14,0)</f>
        <v>#REF!</v>
      </c>
      <c r="P14" t="e">
        <f>IF(Monitorios="SI",Datos!CH14,0)</f>
        <v>#REF!</v>
      </c>
      <c r="Q14">
        <f>IF(J_V="SI",0,Datos!AG14)</f>
        <v>75</v>
      </c>
      <c r="R14">
        <f>IF(J_V="SI",0,Datos!AH14)</f>
        <v>77</v>
      </c>
      <c r="S14">
        <f>IF(J_V="SI",0,Datos!AI14)</f>
        <v>77</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-0.27311370882040381</v>
      </c>
      <c r="E17" s="393">
        <f>IF(ISNUMBER(
   IF(D_I="SI",(Datos!J17-Datos!T17)/Datos!T17,(Datos!J17+Datos!AD17-(Datos!T17+Datos!AL17))/(Datos!T17+Datos!AL17))
     ),IF(D_I="SI",(Datos!J17-Datos!T17)/Datos!T17,(Datos!J17+Datos!AD17-(Datos!T17+Datos!AL17))/(Datos!T17+Datos!AL17))," - ")</f>
        <v>-0.24861878453038674</v>
      </c>
      <c r="F17" s="393">
        <f>IF(ISNUMBER(
   IF(D_I="SI",(Datos!K17-Datos!U17)/Datos!U17,(Datos!K17+Datos!AE17-(Datos!U17+Datos!AM17))/(Datos!U17+Datos!AM17))
     ),IF(D_I="SI",(Datos!K17-Datos!U17)/Datos!U17,(Datos!K17+Datos!AE17-(Datos!U17+Datos!AM17))/(Datos!U17+Datos!AM17))," - ")</f>
        <v>-0.33169533169533172</v>
      </c>
      <c r="G17" s="394">
        <f>IF(ISNUMBER(
   IF(D_I="SI",(Datos!L17-Datos!V17)/Datos!V17,(Datos!L17+Datos!AF17-(Datos!V17+Datos!AN17))/(Datos!V17+Datos!AN17))
     ),IF(D_I="SI",(Datos!L17-Datos!V17)/Datos!V17,(Datos!L17+Datos!AF17-(Datos!V17+Datos!AN17))/(Datos!V17+Datos!AN17))," - ")</f>
        <v>-0.18497109826589594</v>
      </c>
      <c r="H17" s="244">
        <f>IF(ISNUMBER((Datos!M17-Datos!W17)/Datos!W17),(Datos!M17-Datos!W17)/Datos!W17," - ")</f>
        <v>-0.34782608695652173</v>
      </c>
      <c r="I17" s="395">
        <f>IF(ISNUMBER((Tasas!C17-Datos!BE17)/Datos!BE17),(Tasas!C17-Datos!BE17)/Datos!BE17," - ")</f>
        <v>0.21954692281536883</v>
      </c>
      <c r="J17" s="394">
        <f>IF(ISNUMBER((Tasas!D17-Datos!BF17)/Datos!BF17),(Tasas!D17-Datos!BF17)/Datos!BF17," - ")</f>
        <v>-2.4136828644501233E-2</v>
      </c>
      <c r="K17" s="396">
        <f>IF(ISNUMBER((Tasas!E17-Datos!BG17)/Datos!BG17),(Tasas!E17-Datos!BG17)/Datos!BG17," - ")</f>
        <v>0.10359477124183007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-0.29850746268656714</v>
      </c>
      <c r="E18" s="393">
        <f>IF(ISNUMBER(
   IF(D_I="SI",(Datos!J18-Datos!T18)/Datos!T18,(Datos!J18+Datos!AD18-(Datos!T18+Datos!AL18))/(Datos!T18+Datos!AL18))
     ),IF(D_I="SI",(Datos!J18-Datos!T18)/Datos!T18,(Datos!J18+Datos!AD18-(Datos!T18+Datos!AL18))/(Datos!T18+Datos!AL18))," - ")</f>
        <v>-3.2608695652173912E-2</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-0.63095238095238093</v>
      </c>
      <c r="H18" s="244">
        <f>IF(ISNUMBER((Datos!M18-Datos!W18)/Datos!W18),(Datos!M18-Datos!W18)/Datos!W18," - ")</f>
        <v>5.3636363636363633</v>
      </c>
      <c r="I18" s="395">
        <f>IF(ISNUMBER((Tasas!C18-Datos!BE18)/Datos!BE18),(Tasas!C18-Datos!BE18)/Datos!BE18," - ")</f>
        <v>-0.73639455782312924</v>
      </c>
      <c r="J18" s="394">
        <f>IF(ISNUMBER((Tasas!D18-Datos!BF18)/Datos!BF18),(Tasas!D18-Datos!BF18)/Datos!BF18," - ")</f>
        <v>3.5454545454545454</v>
      </c>
      <c r="K18" s="396">
        <f>IF(ISNUMBER((Tasas!E18-Datos!BG18)/Datos!BG18),(Tasas!E18-Datos!BG18)/Datos!BG18," - ")</f>
        <v>-0.3890386343216532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-0.27480158730158732</v>
      </c>
      <c r="E23" s="399">
        <f>IF(ISNUMBER(
   IF(D_I="SI",(Datos!J23-Datos!T23)/Datos!T23,(Datos!J23+Datos!AD23-(Datos!T23+Datos!AL23))/(Datos!T23+Datos!AL23))
     ),IF(D_I="SI",(Datos!J23-Datos!T23)/Datos!T23,(Datos!J23+Datos!AD23-(Datos!T23+Datos!AL23))/(Datos!T23+Datos!AL23))," - ")</f>
        <v>-0.22426470588235295</v>
      </c>
      <c r="F23" s="399">
        <f>IF(ISNUMBER(
   IF(D_I="SI",(Datos!K23-Datos!U23)/Datos!U23,(Datos!K23+Datos!AE23-(Datos!U23+Datos!AM23))/(Datos!U23+Datos!AM23))
     ),IF(D_I="SI",(Datos!K23-Datos!U23)/Datos!U23,(Datos!K23+Datos!AE23-(Datos!U23+Datos!AM23))/(Datos!U23+Datos!AM23))," - ")</f>
        <v>-0.26996625421822273</v>
      </c>
      <c r="G23" s="400">
        <f>IF(ISNUMBER(
   IF(D_I="SI",(Datos!L23-Datos!V23)/Datos!V23,(Datos!L23+Datos!AF23-(Datos!V23+Datos!AN23))/(Datos!V23+Datos!AN23))
     ),IF(D_I="SI",(Datos!L23-Datos!V23)/Datos!V23,(Datos!L23+Datos!AF23-(Datos!V23+Datos!AN23))/(Datos!V23+Datos!AN23))," - ")</f>
        <v>-0.22444678609062171</v>
      </c>
      <c r="H23" s="401">
        <f>IF(ISNUMBER((Datos!M23-Datos!W23)/Datos!W23),(Datos!M23-Datos!W23)/Datos!W23," - ")</f>
        <v>7.3825503355704702E-2</v>
      </c>
      <c r="I23" s="402">
        <f>IF(ISNUMBER((Tasas!C23-Datos!BE23)/Datos!BE23),(Tasas!C23-Datos!BE23)/Datos!BE23," - ")</f>
        <v>6.2352553413616868E-2</v>
      </c>
      <c r="J23" s="400">
        <f>IF(ISNUMBER((Tasas!D23-Datos!BF23)/Datos!BF23),(Tasas!D23-Datos!BF23)/Datos!BF23," - ")</f>
        <v>0.47092584357969414</v>
      </c>
      <c r="K23" s="403">
        <f>IF(ISNUMBER((Tasas!E23-Datos!BG23)/Datos!BG23),(Tasas!E23-Datos!BG23)/Datos!BG23," - ")</f>
        <v>2.4345822182575274E-2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-0.20388349514563106</v>
      </c>
      <c r="E31" s="409">
        <f>IF(ISNUMBER(
   IF(J_V="SI",(Datos!J31-Datos!T31)/Datos!T31,(Datos!J31+Datos!Z31-(Datos!T31+Datos!AH31))/(Datos!T31+Datos!AH31))
     ),IF(J_V="SI",(Datos!J31-Datos!T31)/Datos!T31,(Datos!J31+Datos!Z31-(Datos!T31+Datos!AH31))/(Datos!T31+Datos!AH31))," - ")</f>
        <v>-7.7904633982538621E-2</v>
      </c>
      <c r="F31" s="409">
        <f>IF(ISNUMBER(
   IF(J_V="SI",(Datos!K31-Datos!U31)/Datos!U31,(Datos!K31+Datos!AA31-(Datos!U31+Datos!AI31))/(Datos!U31+Datos!AI31))
     ),IF(J_V="SI",(Datos!K31-Datos!U31)/Datos!U31,(Datos!K31+Datos!AA31-(Datos!U31+Datos!AI31))/(Datos!U31+Datos!AI31))," - ")</f>
        <v>-0.17918719211822659</v>
      </c>
      <c r="G31" s="410">
        <f>IF(ISNUMBER(
   IF(J_V="SI",(Datos!L31-Datos!V31)/Datos!V31,(Datos!L31+Datos!AB31-(Datos!V31+Datos!AJ31))/(Datos!V31+Datos!AJ31))
     ),IF(J_V="SI",(Datos!L31-Datos!V31)/Datos!V31,(Datos!L31+Datos!AB31-(Datos!V31+Datos!AJ31))/(Datos!V31+Datos!AJ31))," - ")</f>
        <v>-0.14118107156824403</v>
      </c>
      <c r="H31" s="411">
        <f>IF(ISNUMBER((Datos!M31-Datos!W31)/Datos!W31),(Datos!M31-Datos!W31)/Datos!W31," - ")</f>
        <v>0.20846905537459284</v>
      </c>
      <c r="I31" s="408">
        <f>IF(ISNUMBER((Tasas!C31-Datos!BE31)/Datos!BE31),(Tasas!C31-Datos!BE31)/Datos!BE31," - ")</f>
        <v>4.6303030587525669E-2</v>
      </c>
      <c r="J31" s="409">
        <f>IF(ISNUMBER((Tasas!D31-Datos!BF31)/Datos!BF31),(Tasas!D31-Datos!BF31)/Datos!BF31," - ")</f>
        <v>0.22159729121469557</v>
      </c>
      <c r="K31" s="410">
        <f>IF(ISNUMBER((Tasas!E31-Datos!BG31)/Datos!BG31),(Tasas!E31-Datos!BG31)/Datos!BG31," - ")</f>
        <v>2.4755828986044261E-2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0.27094239526119063</v>
      </c>
      <c r="E33" s="303">
        <f t="shared" si="1"/>
        <v>0.26716077293968643</v>
      </c>
      <c r="F33" s="303">
        <f t="shared" si="1"/>
        <v>0.45813213800062008</v>
      </c>
      <c r="G33" s="304">
        <f t="shared" si="1"/>
        <v>0.32089697182945998</v>
      </c>
      <c r="H33" s="310">
        <f t="shared" si="1"/>
        <v>2.2389267483358903</v>
      </c>
      <c r="I33" s="302">
        <f t="shared" si="1"/>
        <v>0.36571322700388514</v>
      </c>
      <c r="J33" s="303">
        <f t="shared" si="1"/>
        <v>1.3974608513871465</v>
      </c>
      <c r="K33" s="304">
        <f t="shared" si="1"/>
        <v>0.19195697217675983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cjD1DU55cSma/JlLIqXcGx43MJ4yBijEKM+qk88HpxUt7gU27EJav4UXXRnshUvp7bKThsOlVJHegt6TCvGA==" saltValue="ZADSxaLPjPR3CXcpbduK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